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pearson01\OneDrive - Texas Health and Human Services\Documents\RFAs Assigned\HHS0013447 Substance Use Prev Srvs\3 Posting Phase\ADDENDUMS\ADDENDUM 7 - Exhibit P\Approval ADDENDUM 7\"/>
    </mc:Choice>
  </mc:AlternateContent>
  <xr:revisionPtr revIDLastSave="0" documentId="8_{D926CEC0-B0F2-4304-9D54-306819B49020}" xr6:coauthVersionLast="47" xr6:coauthVersionMax="47" xr10:uidLastSave="{00000000-0000-0000-0000-000000000000}"/>
  <workbookProtection workbookAlgorithmName="SHA-512" workbookHashValue="jKcNqBAUPqP46lgwL0rbEEtwRaLElwMojU5DGZ+K1zYIHbT5QUG3Dez4+hptM2S1TFySKQPY5xZwZM5e2+j0xQ==" workbookSaltValue="cJeogDwY0kn/xQFU4y4QNg==" workbookSpinCount="100000" lockStructure="1"/>
  <bookViews>
    <workbookView xWindow="24348" yWindow="624" windowWidth="21600" windowHeight="11388" tabRatio="734" xr2:uid="{6912F341-6FD2-415E-8076-909B1F294576}"/>
  </bookViews>
  <sheets>
    <sheet name="Instructions" sheetId="9" r:id="rId1"/>
    <sheet name="Estimated Performance Measures" sheetId="5" r:id="rId2"/>
    <sheet name="YP Education Measure Ranges" sheetId="3" r:id="rId3"/>
    <sheet name="Measures High to Low - OLD" sheetId="2" state="hidden" r:id="rId4"/>
    <sheet name="Calculations - OLD" sheetId="1" state="hidden" r:id="rId5"/>
    <sheet name="Prev Edu Calculations" sheetId="4" state="hidden" r:id="rId6"/>
    <sheet name="Tobacco Compliance Calcs" sheetId="7" state="hidden" r:id="rId7"/>
    <sheet name="Other Activity Calulations" sheetId="8" state="hidden" r:id="rId8"/>
  </sheets>
  <definedNames>
    <definedName name="Alts_POE">'YP Education Measure Ranges'!$C$2</definedName>
    <definedName name="Edu_POE">'YP Education Measure Ranges'!$B$2</definedName>
    <definedName name="Info_POE">'YP Education Measure Ranges'!$D$2</definedName>
    <definedName name="Region">'Estimated Performance Measures'!$C$5</definedName>
    <definedName name="YPI_1">'Estimated Performance Measures'!$A$49</definedName>
    <definedName name="YPI_2">'Estimated Performance Measures'!$A$53</definedName>
    <definedName name="YPI_3">'Estimated Performance Measures'!$A$57</definedName>
    <definedName name="YPS_1">'Estimated Performance Measures'!$A$31</definedName>
    <definedName name="YPS_2">'Estimated Performance Measures'!$A$35</definedName>
    <definedName name="YPS_3">'Estimated Performance Measures'!$A$39</definedName>
    <definedName name="YPU_1">'Estimated Performance Measures'!$A$13</definedName>
    <definedName name="YPU_2">'Estimated Performance Measures'!$A$17</definedName>
    <definedName name="YPU_3">'Estimated Performance Measures'!$A$21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5" l="1"/>
  <c r="I97" i="5"/>
  <c r="N97" i="5"/>
  <c r="C60" i="5"/>
  <c r="I98" i="5"/>
  <c r="N98" i="5"/>
  <c r="C24" i="5"/>
  <c r="I96" i="5"/>
  <c r="N96" i="5"/>
  <c r="I89" i="5"/>
  <c r="N89" i="5"/>
  <c r="I90" i="5"/>
  <c r="N90" i="5"/>
  <c r="I88" i="5"/>
  <c r="N88" i="5"/>
  <c r="I85" i="5"/>
  <c r="N85" i="5"/>
  <c r="I86" i="5"/>
  <c r="N86" i="5"/>
  <c r="I84" i="5"/>
  <c r="N84" i="5"/>
  <c r="I81" i="5"/>
  <c r="N81" i="5"/>
  <c r="I82" i="5"/>
  <c r="N82" i="5"/>
  <c r="I80" i="5"/>
  <c r="N80" i="5"/>
  <c r="I77" i="5"/>
  <c r="N77" i="5"/>
  <c r="I78" i="5"/>
  <c r="N78" i="5"/>
  <c r="I76" i="5"/>
  <c r="N76" i="5"/>
  <c r="I73" i="5"/>
  <c r="N73" i="5"/>
  <c r="I74" i="5"/>
  <c r="N74" i="5"/>
  <c r="I13" i="5" a="1"/>
  <c r="I13" i="5"/>
  <c r="I17" i="5" a="1"/>
  <c r="I17" i="5"/>
  <c r="I21" i="5" a="1"/>
  <c r="I21" i="5"/>
  <c r="I72" i="5"/>
  <c r="N72" i="5"/>
  <c r="I69" i="5"/>
  <c r="N69" i="5"/>
  <c r="I70" i="5"/>
  <c r="N70" i="5"/>
  <c r="I68" i="5"/>
  <c r="N68" i="5"/>
  <c r="N13" i="5"/>
  <c r="Y95" i="5"/>
  <c r="X95" i="5"/>
  <c r="W95" i="5"/>
  <c r="V95" i="5"/>
  <c r="U95" i="5"/>
  <c r="Y91" i="5"/>
  <c r="X91" i="5"/>
  <c r="W91" i="5"/>
  <c r="V91" i="5"/>
  <c r="U91" i="5"/>
  <c r="Y87" i="5"/>
  <c r="X87" i="5"/>
  <c r="W87" i="5"/>
  <c r="V87" i="5"/>
  <c r="U87" i="5"/>
  <c r="Y83" i="5"/>
  <c r="X83" i="5"/>
  <c r="W83" i="5"/>
  <c r="V83" i="5"/>
  <c r="U83" i="5"/>
  <c r="Y79" i="5"/>
  <c r="X79" i="5"/>
  <c r="W79" i="5"/>
  <c r="V79" i="5"/>
  <c r="U79" i="5"/>
  <c r="Y75" i="5"/>
  <c r="X75" i="5"/>
  <c r="W75" i="5"/>
  <c r="V75" i="5"/>
  <c r="U75" i="5"/>
  <c r="Y71" i="5"/>
  <c r="X71" i="5"/>
  <c r="W71" i="5"/>
  <c r="V71" i="5"/>
  <c r="U71" i="5"/>
  <c r="V67" i="5"/>
  <c r="W67" i="5"/>
  <c r="X67" i="5"/>
  <c r="Y67" i="5"/>
  <c r="U67" i="5"/>
  <c r="Y63" i="5"/>
  <c r="X63" i="5"/>
  <c r="W63" i="5"/>
  <c r="V63" i="5"/>
  <c r="U63" i="5"/>
  <c r="Y62" i="5"/>
  <c r="X62" i="5"/>
  <c r="W62" i="5"/>
  <c r="V62" i="5"/>
  <c r="U62" i="5"/>
  <c r="Y45" i="5"/>
  <c r="X45" i="5"/>
  <c r="W45" i="5"/>
  <c r="V45" i="5"/>
  <c r="U45" i="5"/>
  <c r="Y44" i="5"/>
  <c r="X44" i="5"/>
  <c r="W44" i="5"/>
  <c r="V44" i="5"/>
  <c r="U44" i="5"/>
  <c r="U27" i="5"/>
  <c r="V27" i="5"/>
  <c r="W27" i="5"/>
  <c r="X27" i="5"/>
  <c r="Y27" i="5"/>
  <c r="Y26" i="5"/>
  <c r="V26" i="5"/>
  <c r="W26" i="5"/>
  <c r="X26" i="5"/>
  <c r="U26" i="5"/>
  <c r="N75" i="5"/>
  <c r="N95" i="5"/>
  <c r="L98" i="5"/>
  <c r="K98" i="5"/>
  <c r="J98" i="5"/>
  <c r="L97" i="5"/>
  <c r="K97" i="5"/>
  <c r="J97" i="5"/>
  <c r="L96" i="5"/>
  <c r="K96" i="5"/>
  <c r="J96" i="5"/>
  <c r="L90" i="5"/>
  <c r="K90" i="5"/>
  <c r="J90" i="5"/>
  <c r="L89" i="5"/>
  <c r="K89" i="5"/>
  <c r="J89" i="5"/>
  <c r="L88" i="5"/>
  <c r="K88" i="5"/>
  <c r="J88" i="5"/>
  <c r="N93" i="5"/>
  <c r="M93" i="5"/>
  <c r="N92" i="5"/>
  <c r="K92" i="5"/>
  <c r="N94" i="5"/>
  <c r="J94" i="5"/>
  <c r="N87" i="5"/>
  <c r="L86" i="5"/>
  <c r="K86" i="5"/>
  <c r="J86" i="5"/>
  <c r="L85" i="5"/>
  <c r="K85" i="5"/>
  <c r="J85" i="5"/>
  <c r="L84" i="5"/>
  <c r="K84" i="5"/>
  <c r="J84" i="5"/>
  <c r="N83" i="5"/>
  <c r="J81" i="5"/>
  <c r="K81" i="5"/>
  <c r="L81" i="5"/>
  <c r="J82" i="5"/>
  <c r="K82" i="5"/>
  <c r="L82" i="5"/>
  <c r="L80" i="5"/>
  <c r="K80" i="5"/>
  <c r="J80" i="5"/>
  <c r="M80" i="5"/>
  <c r="L70" i="5"/>
  <c r="L68" i="5"/>
  <c r="J68" i="5"/>
  <c r="L73" i="5"/>
  <c r="J69" i="5"/>
  <c r="J70" i="5"/>
  <c r="J77" i="5"/>
  <c r="K77" i="5"/>
  <c r="L77" i="5"/>
  <c r="J78" i="5"/>
  <c r="K78" i="5"/>
  <c r="L78" i="5"/>
  <c r="L76" i="5"/>
  <c r="K76" i="5"/>
  <c r="J76" i="5"/>
  <c r="K74" i="5"/>
  <c r="K73" i="5"/>
  <c r="J74" i="5"/>
  <c r="L74" i="5"/>
  <c r="K70" i="5"/>
  <c r="I40" i="5" a="1"/>
  <c r="I40" i="5"/>
  <c r="G40" i="5" a="1"/>
  <c r="G40" i="5"/>
  <c r="F40" i="5" a="1"/>
  <c r="F40" i="5"/>
  <c r="E40" i="5" a="1"/>
  <c r="E40" i="5"/>
  <c r="I39" i="5" a="1"/>
  <c r="I39" i="5"/>
  <c r="G39" i="5" a="1"/>
  <c r="G39" i="5"/>
  <c r="F39" i="5" a="1"/>
  <c r="F39" i="5"/>
  <c r="E39" i="5" a="1"/>
  <c r="E39" i="5"/>
  <c r="I35" i="5" a="1"/>
  <c r="I35" i="5"/>
  <c r="G35" i="5" a="1"/>
  <c r="G35" i="5"/>
  <c r="F35" i="5" a="1"/>
  <c r="F35" i="5"/>
  <c r="E35" i="5" a="1"/>
  <c r="E35" i="5"/>
  <c r="L58" i="5"/>
  <c r="K58" i="5"/>
  <c r="J58" i="5"/>
  <c r="M58" i="5"/>
  <c r="L57" i="5"/>
  <c r="K57" i="5"/>
  <c r="J57" i="5"/>
  <c r="L54" i="5"/>
  <c r="K54" i="5"/>
  <c r="J54" i="5"/>
  <c r="M54" i="5"/>
  <c r="L53" i="5"/>
  <c r="K53" i="5"/>
  <c r="J53" i="5"/>
  <c r="L50" i="5"/>
  <c r="K50" i="5"/>
  <c r="J50" i="5"/>
  <c r="L49" i="5"/>
  <c r="K49" i="5"/>
  <c r="J49" i="5"/>
  <c r="L40" i="5"/>
  <c r="K40" i="5"/>
  <c r="J40" i="5"/>
  <c r="M40" i="5"/>
  <c r="L39" i="5"/>
  <c r="K39" i="5"/>
  <c r="J39" i="5"/>
  <c r="M39" i="5"/>
  <c r="L36" i="5"/>
  <c r="K36" i="5"/>
  <c r="J36" i="5"/>
  <c r="L35" i="5"/>
  <c r="K35" i="5"/>
  <c r="J35" i="5"/>
  <c r="M35" i="5"/>
  <c r="L32" i="5"/>
  <c r="K32" i="5"/>
  <c r="J32" i="5"/>
  <c r="M32" i="5"/>
  <c r="L31" i="5"/>
  <c r="K31" i="5"/>
  <c r="J31" i="5"/>
  <c r="G24" i="3" a="1"/>
  <c r="G24" i="3"/>
  <c r="M9" i="4"/>
  <c r="G16" i="3" a="1"/>
  <c r="G16" i="3"/>
  <c r="E16" i="3"/>
  <c r="M10" i="4"/>
  <c r="M11" i="4"/>
  <c r="L10" i="4"/>
  <c r="L11" i="4"/>
  <c r="L16" i="4"/>
  <c r="M16" i="4"/>
  <c r="M17" i="4"/>
  <c r="L17" i="4"/>
  <c r="L20" i="4"/>
  <c r="M20" i="4"/>
  <c r="M21" i="4"/>
  <c r="L21" i="4"/>
  <c r="L6" i="4"/>
  <c r="L7" i="4"/>
  <c r="G44" i="3" a="1"/>
  <c r="G44" i="3"/>
  <c r="C44" i="3"/>
  <c r="D8" i="5"/>
  <c r="I94" i="5"/>
  <c r="G94" i="5"/>
  <c r="I93" i="5"/>
  <c r="E93" i="5"/>
  <c r="I92" i="5"/>
  <c r="F92" i="5"/>
  <c r="O44" i="3" a="1"/>
  <c r="O44" i="3"/>
  <c r="O40" i="3" a="1"/>
  <c r="O40" i="3"/>
  <c r="M40" i="3"/>
  <c r="G40" i="3" a="1"/>
  <c r="G40" i="3"/>
  <c r="W36" i="3" a="1"/>
  <c r="W36" i="3"/>
  <c r="O36" i="3" a="1"/>
  <c r="O36" i="3"/>
  <c r="G36" i="3" a="1"/>
  <c r="G36" i="3"/>
  <c r="W32" i="3" a="1"/>
  <c r="W32" i="3"/>
  <c r="O32" i="3" a="1"/>
  <c r="O32" i="3"/>
  <c r="G32" i="3" a="1"/>
  <c r="G32" i="3"/>
  <c r="W28" i="3" a="1"/>
  <c r="W28" i="3"/>
  <c r="U28" i="3"/>
  <c r="O28" i="3" a="1"/>
  <c r="O28" i="3"/>
  <c r="G28" i="3" a="1"/>
  <c r="G28" i="3"/>
  <c r="W24" i="3" a="1"/>
  <c r="W24" i="3"/>
  <c r="O24" i="3" a="1"/>
  <c r="O24" i="3"/>
  <c r="K24" i="3"/>
  <c r="W20" i="3" a="1"/>
  <c r="W20" i="3"/>
  <c r="O20" i="3" a="1"/>
  <c r="O20" i="3"/>
  <c r="G20" i="3" a="1"/>
  <c r="G20" i="3"/>
  <c r="W16" i="3" a="1"/>
  <c r="W16" i="3"/>
  <c r="S16" i="3"/>
  <c r="O16" i="3" a="1"/>
  <c r="O16" i="3"/>
  <c r="I7" i="8"/>
  <c r="E77" i="5"/>
  <c r="G89" i="5"/>
  <c r="H8" i="8"/>
  <c r="B8" i="8"/>
  <c r="H4" i="8"/>
  <c r="B4" i="8"/>
  <c r="F2" i="8"/>
  <c r="I36" i="5" a="1"/>
  <c r="I36" i="5"/>
  <c r="I58" i="5" a="1"/>
  <c r="I58" i="5"/>
  <c r="I57" i="5" a="1"/>
  <c r="I57" i="5"/>
  <c r="I49" i="5" a="1"/>
  <c r="I49" i="5"/>
  <c r="I54" i="5" a="1"/>
  <c r="I54" i="5"/>
  <c r="G54" i="5" a="1"/>
  <c r="G54" i="5"/>
  <c r="E54" i="5" a="1"/>
  <c r="E54" i="5"/>
  <c r="N17" i="5"/>
  <c r="F17" i="5" a="1"/>
  <c r="F17" i="5"/>
  <c r="E17" i="5" a="1"/>
  <c r="E17" i="5"/>
  <c r="I53" i="5" a="1"/>
  <c r="I53" i="5"/>
  <c r="G53" i="5" a="1"/>
  <c r="G53" i="5"/>
  <c r="F53" i="5" a="1"/>
  <c r="F53" i="5"/>
  <c r="I22" i="5" a="1"/>
  <c r="I22" i="5"/>
  <c r="N22" i="5"/>
  <c r="I32" i="5" a="1"/>
  <c r="I32" i="5"/>
  <c r="G32" i="5" a="1"/>
  <c r="G32" i="5"/>
  <c r="F32" i="5" a="1"/>
  <c r="F32" i="5"/>
  <c r="I31" i="5" a="1"/>
  <c r="I31" i="5"/>
  <c r="F31" i="5" a="1"/>
  <c r="F31" i="5"/>
  <c r="E31" i="5" a="1"/>
  <c r="E31" i="5"/>
  <c r="N21" i="5"/>
  <c r="G21" i="5" a="1"/>
  <c r="G21" i="5"/>
  <c r="F21" i="5" a="1"/>
  <c r="F21" i="5"/>
  <c r="U8" i="5"/>
  <c r="M97" i="5"/>
  <c r="M98" i="5"/>
  <c r="M96" i="5"/>
  <c r="M95" i="5"/>
  <c r="M90" i="5"/>
  <c r="M89" i="5"/>
  <c r="M85" i="5"/>
  <c r="M82" i="5"/>
  <c r="M78" i="5"/>
  <c r="M77" i="5"/>
  <c r="M74" i="5"/>
  <c r="J63" i="5"/>
  <c r="K63" i="5"/>
  <c r="M88" i="5"/>
  <c r="M87" i="5"/>
  <c r="M86" i="5"/>
  <c r="M84" i="5"/>
  <c r="M76" i="5"/>
  <c r="M70" i="5"/>
  <c r="K95" i="5"/>
  <c r="J95" i="5"/>
  <c r="L95" i="5"/>
  <c r="L87" i="5"/>
  <c r="J87" i="5"/>
  <c r="K87" i="5"/>
  <c r="J83" i="5"/>
  <c r="L83" i="5"/>
  <c r="K83" i="5"/>
  <c r="K75" i="5"/>
  <c r="J79" i="5"/>
  <c r="K79" i="5"/>
  <c r="L75" i="5"/>
  <c r="M49" i="5"/>
  <c r="M31" i="5"/>
  <c r="M44" i="5"/>
  <c r="J67" i="5"/>
  <c r="K68" i="5"/>
  <c r="M68" i="5"/>
  <c r="L79" i="5"/>
  <c r="K45" i="5"/>
  <c r="M57" i="5"/>
  <c r="J75" i="5"/>
  <c r="M75" i="5"/>
  <c r="J73" i="5"/>
  <c r="M73" i="5"/>
  <c r="K69" i="5"/>
  <c r="L69" i="5"/>
  <c r="L67" i="5"/>
  <c r="J62" i="5"/>
  <c r="L62" i="5"/>
  <c r="M53" i="5"/>
  <c r="K62" i="5"/>
  <c r="M50" i="5"/>
  <c r="M63" i="5"/>
  <c r="L63" i="5"/>
  <c r="M36" i="5"/>
  <c r="M45" i="5"/>
  <c r="J45" i="5"/>
  <c r="L45" i="5"/>
  <c r="L44" i="5"/>
  <c r="K44" i="5"/>
  <c r="J44" i="5"/>
  <c r="G18" i="5" a="1"/>
  <c r="G18" i="5"/>
  <c r="E18" i="5" a="1"/>
  <c r="E18" i="5"/>
  <c r="I18" i="5" a="1"/>
  <c r="I18" i="5"/>
  <c r="N18" i="5"/>
  <c r="N79" i="5"/>
  <c r="G76" i="5"/>
  <c r="E68" i="5"/>
  <c r="E84" i="5"/>
  <c r="F4" i="8"/>
  <c r="N20" i="7"/>
  <c r="G2" i="3"/>
  <c r="P20" i="7"/>
  <c r="S20" i="7"/>
  <c r="Q20" i="7"/>
  <c r="F3" i="8"/>
  <c r="F5" i="8"/>
  <c r="F6" i="8"/>
  <c r="F7" i="8"/>
  <c r="F9" i="8"/>
  <c r="F10" i="8"/>
  <c r="G6" i="8"/>
  <c r="G7" i="8"/>
  <c r="I2" i="8"/>
  <c r="I3" i="8"/>
  <c r="I5" i="8"/>
  <c r="I6" i="8"/>
  <c r="I9" i="8"/>
  <c r="I10" i="8"/>
  <c r="G3" i="8"/>
  <c r="G2" i="8"/>
  <c r="G5" i="8"/>
  <c r="G9" i="8"/>
  <c r="G10" i="8"/>
  <c r="F76" i="7"/>
  <c r="H76" i="7"/>
  <c r="I76" i="7"/>
  <c r="F185" i="7"/>
  <c r="H185" i="7"/>
  <c r="I185" i="7"/>
  <c r="F47" i="7"/>
  <c r="H47" i="7"/>
  <c r="I47" i="7"/>
  <c r="F43" i="7"/>
  <c r="H43" i="7"/>
  <c r="I43" i="7"/>
  <c r="F181" i="7"/>
  <c r="H181" i="7"/>
  <c r="I181" i="7"/>
  <c r="F235" i="7"/>
  <c r="H235" i="7"/>
  <c r="I235" i="7"/>
  <c r="F97" i="7"/>
  <c r="H97" i="7"/>
  <c r="I97" i="7"/>
  <c r="F72" i="7"/>
  <c r="H72" i="7"/>
  <c r="I72" i="7"/>
  <c r="F173" i="7"/>
  <c r="H173" i="7"/>
  <c r="I173" i="7"/>
  <c r="F121" i="7"/>
  <c r="H121" i="7"/>
  <c r="I121" i="7"/>
  <c r="F50" i="7"/>
  <c r="H50" i="7"/>
  <c r="I50" i="7"/>
  <c r="F208" i="7"/>
  <c r="H208" i="7"/>
  <c r="I208" i="7"/>
  <c r="F126" i="7"/>
  <c r="H126" i="7"/>
  <c r="I126" i="7"/>
  <c r="F23" i="7"/>
  <c r="H23" i="7"/>
  <c r="I23" i="7"/>
  <c r="F5" i="7"/>
  <c r="H5" i="7"/>
  <c r="I5" i="7"/>
  <c r="F145" i="7"/>
  <c r="H145" i="7"/>
  <c r="I145" i="7"/>
  <c r="F249" i="7"/>
  <c r="H249" i="7"/>
  <c r="I249" i="7"/>
  <c r="F116" i="7"/>
  <c r="H116" i="7"/>
  <c r="I116" i="7"/>
  <c r="F45" i="7"/>
  <c r="H45" i="7"/>
  <c r="I45" i="7"/>
  <c r="F28" i="7"/>
  <c r="H28" i="7"/>
  <c r="I28" i="7"/>
  <c r="F21" i="7"/>
  <c r="H21" i="7"/>
  <c r="I21" i="7"/>
  <c r="F230" i="7"/>
  <c r="H230" i="7"/>
  <c r="I230" i="7"/>
  <c r="F243" i="7"/>
  <c r="H243" i="7"/>
  <c r="I243" i="7"/>
  <c r="F172" i="7"/>
  <c r="H172" i="7"/>
  <c r="I172" i="7"/>
  <c r="F81" i="7"/>
  <c r="H81" i="7"/>
  <c r="I81" i="7"/>
  <c r="F94" i="7"/>
  <c r="H94" i="7"/>
  <c r="I94" i="7"/>
  <c r="F84" i="7"/>
  <c r="H84" i="7"/>
  <c r="I84" i="7"/>
  <c r="F61" i="7"/>
  <c r="H61" i="7"/>
  <c r="I61" i="7"/>
  <c r="F74" i="7"/>
  <c r="H74" i="7"/>
  <c r="I74" i="7"/>
  <c r="F148" i="7"/>
  <c r="H148" i="7"/>
  <c r="I148" i="7"/>
  <c r="F19" i="7"/>
  <c r="H19" i="7"/>
  <c r="I19" i="7"/>
  <c r="F54" i="7"/>
  <c r="H54" i="7"/>
  <c r="I54" i="7"/>
  <c r="F191" i="7"/>
  <c r="H191" i="7"/>
  <c r="I191" i="7"/>
  <c r="F106" i="7"/>
  <c r="H106" i="7"/>
  <c r="I106" i="7"/>
  <c r="F195" i="7"/>
  <c r="H195" i="7"/>
  <c r="I195" i="7"/>
  <c r="F49" i="7"/>
  <c r="H49" i="7"/>
  <c r="I49" i="7"/>
  <c r="F79" i="7"/>
  <c r="H79" i="7"/>
  <c r="I79" i="7"/>
  <c r="F170" i="7"/>
  <c r="H170" i="7"/>
  <c r="I170" i="7"/>
  <c r="F180" i="7"/>
  <c r="H180" i="7"/>
  <c r="I180" i="7"/>
  <c r="F214" i="7"/>
  <c r="H214" i="7"/>
  <c r="I214" i="7"/>
  <c r="F216" i="7"/>
  <c r="H216" i="7"/>
  <c r="I216" i="7"/>
  <c r="F179" i="7"/>
  <c r="H179" i="7"/>
  <c r="I179" i="7"/>
  <c r="F8" i="7"/>
  <c r="H8" i="7"/>
  <c r="I8" i="7"/>
  <c r="F227" i="7"/>
  <c r="H227" i="7"/>
  <c r="I227" i="7"/>
  <c r="F108" i="7"/>
  <c r="H108" i="7"/>
  <c r="I108" i="7"/>
  <c r="F27" i="7"/>
  <c r="H27" i="7"/>
  <c r="I27" i="7"/>
  <c r="F157" i="7"/>
  <c r="H157" i="7"/>
  <c r="I157" i="7"/>
  <c r="F199" i="7"/>
  <c r="H199" i="7"/>
  <c r="I199" i="7"/>
  <c r="F71" i="7"/>
  <c r="H71" i="7"/>
  <c r="I71" i="7"/>
  <c r="F95" i="7"/>
  <c r="H95" i="7"/>
  <c r="I95" i="7"/>
  <c r="F233" i="7"/>
  <c r="H233" i="7"/>
  <c r="I233" i="7"/>
  <c r="F196" i="7"/>
  <c r="H196" i="7"/>
  <c r="I196" i="7"/>
  <c r="F240" i="7"/>
  <c r="H240" i="7"/>
  <c r="I240" i="7"/>
  <c r="F188" i="7"/>
  <c r="H188" i="7"/>
  <c r="I188" i="7"/>
  <c r="F242" i="7"/>
  <c r="H242" i="7"/>
  <c r="I242" i="7"/>
  <c r="F219" i="7"/>
  <c r="H219" i="7"/>
  <c r="I219" i="7"/>
  <c r="F3" i="7"/>
  <c r="H3" i="7"/>
  <c r="I3" i="7"/>
  <c r="F168" i="7"/>
  <c r="H168" i="7"/>
  <c r="I168" i="7"/>
  <c r="F182" i="7"/>
  <c r="H182" i="7"/>
  <c r="I182" i="7"/>
  <c r="F135" i="7"/>
  <c r="H135" i="7"/>
  <c r="I135" i="7"/>
  <c r="F12" i="7"/>
  <c r="H12" i="7"/>
  <c r="I12" i="7"/>
  <c r="F141" i="7"/>
  <c r="H141" i="7"/>
  <c r="I141" i="7"/>
  <c r="F226" i="7"/>
  <c r="H226" i="7"/>
  <c r="I226" i="7"/>
  <c r="F169" i="7"/>
  <c r="H169" i="7"/>
  <c r="I169" i="7"/>
  <c r="F206" i="7"/>
  <c r="H206" i="7"/>
  <c r="I206" i="7"/>
  <c r="F200" i="7"/>
  <c r="H200" i="7"/>
  <c r="I200" i="7"/>
  <c r="F104" i="7"/>
  <c r="H104" i="7"/>
  <c r="I104" i="7"/>
  <c r="F31" i="7"/>
  <c r="H31" i="7"/>
  <c r="I31" i="7"/>
  <c r="F246" i="7"/>
  <c r="H246" i="7"/>
  <c r="I246" i="7"/>
  <c r="F11" i="7"/>
  <c r="H11" i="7"/>
  <c r="I11" i="7"/>
  <c r="F39" i="7"/>
  <c r="H39" i="7"/>
  <c r="I39" i="7"/>
  <c r="F107" i="7"/>
  <c r="H107" i="7"/>
  <c r="I107" i="7"/>
  <c r="F138" i="7"/>
  <c r="H138" i="7"/>
  <c r="I138" i="7"/>
  <c r="F114" i="7"/>
  <c r="H114" i="7"/>
  <c r="I114" i="7"/>
  <c r="F100" i="7"/>
  <c r="H100" i="7"/>
  <c r="I100" i="7"/>
  <c r="F204" i="7"/>
  <c r="H204" i="7"/>
  <c r="I204" i="7"/>
  <c r="F209" i="7"/>
  <c r="H209" i="7"/>
  <c r="I209" i="7"/>
  <c r="F237" i="7"/>
  <c r="H237" i="7"/>
  <c r="I237" i="7"/>
  <c r="F10" i="7"/>
  <c r="H10" i="7"/>
  <c r="I10" i="7"/>
  <c r="F124" i="7"/>
  <c r="H124" i="7"/>
  <c r="I124" i="7"/>
  <c r="F133" i="7"/>
  <c r="H133" i="7"/>
  <c r="I133" i="7"/>
  <c r="F152" i="7"/>
  <c r="H152" i="7"/>
  <c r="I152" i="7"/>
  <c r="F166" i="7"/>
  <c r="H166" i="7"/>
  <c r="I166" i="7"/>
  <c r="F6" i="7"/>
  <c r="H6" i="7"/>
  <c r="I6" i="7"/>
  <c r="F198" i="7"/>
  <c r="H198" i="7"/>
  <c r="I198" i="7"/>
  <c r="F111" i="7"/>
  <c r="H111" i="7"/>
  <c r="I111" i="7"/>
  <c r="F244" i="7"/>
  <c r="H244" i="7"/>
  <c r="I244" i="7"/>
  <c r="F207" i="7"/>
  <c r="H207" i="7"/>
  <c r="I207" i="7"/>
  <c r="F149" i="7"/>
  <c r="H149" i="7"/>
  <c r="I149" i="7"/>
  <c r="F132" i="7"/>
  <c r="H132" i="7"/>
  <c r="I132" i="7"/>
  <c r="F33" i="7"/>
  <c r="H33" i="7"/>
  <c r="I33" i="7"/>
  <c r="F9" i="7"/>
  <c r="H9" i="7"/>
  <c r="I9" i="7"/>
  <c r="F88" i="7"/>
  <c r="H88" i="7"/>
  <c r="I88" i="7"/>
  <c r="F37" i="7"/>
  <c r="H37" i="7"/>
  <c r="I37" i="7"/>
  <c r="F123" i="7"/>
  <c r="H123" i="7"/>
  <c r="I123" i="7"/>
  <c r="F197" i="7"/>
  <c r="H197" i="7"/>
  <c r="I197" i="7"/>
  <c r="F155" i="7"/>
  <c r="H155" i="7"/>
  <c r="I155" i="7"/>
  <c r="F221" i="7"/>
  <c r="H221" i="7"/>
  <c r="I221" i="7"/>
  <c r="F193" i="7"/>
  <c r="H193" i="7"/>
  <c r="I193" i="7"/>
  <c r="F59" i="7"/>
  <c r="H59" i="7"/>
  <c r="I59" i="7"/>
  <c r="F2" i="7"/>
  <c r="H2" i="7"/>
  <c r="I2" i="7"/>
  <c r="F58" i="7"/>
  <c r="H58" i="7"/>
  <c r="I58" i="7"/>
  <c r="F241" i="7"/>
  <c r="H241" i="7"/>
  <c r="I241" i="7"/>
  <c r="F165" i="7"/>
  <c r="H165" i="7"/>
  <c r="I165" i="7"/>
  <c r="F26" i="7"/>
  <c r="H26" i="7"/>
  <c r="I26" i="7"/>
  <c r="F215" i="7"/>
  <c r="H215" i="7"/>
  <c r="I215" i="7"/>
  <c r="F40" i="7"/>
  <c r="H40" i="7"/>
  <c r="I40" i="7"/>
  <c r="F14" i="7"/>
  <c r="H14" i="7"/>
  <c r="I14" i="7"/>
  <c r="F78" i="7"/>
  <c r="H78" i="7"/>
  <c r="I78" i="7"/>
  <c r="F140" i="7"/>
  <c r="H140" i="7"/>
  <c r="I140" i="7"/>
  <c r="F36" i="7"/>
  <c r="H36" i="7"/>
  <c r="I36" i="7"/>
  <c r="F87" i="7"/>
  <c r="H87" i="7"/>
  <c r="I87" i="7"/>
  <c r="F146" i="7"/>
  <c r="H146" i="7"/>
  <c r="I146" i="7"/>
  <c r="F90" i="7"/>
  <c r="H90" i="7"/>
  <c r="I90" i="7"/>
  <c r="F248" i="7"/>
  <c r="H248" i="7"/>
  <c r="I248" i="7"/>
  <c r="F42" i="7"/>
  <c r="H42" i="7"/>
  <c r="I42" i="7"/>
  <c r="F129" i="7"/>
  <c r="H129" i="7"/>
  <c r="I129" i="7"/>
  <c r="F225" i="7"/>
  <c r="H225" i="7"/>
  <c r="I225" i="7"/>
  <c r="F175" i="7"/>
  <c r="H175" i="7"/>
  <c r="I175" i="7"/>
  <c r="F143" i="7"/>
  <c r="H143" i="7"/>
  <c r="I143" i="7"/>
  <c r="F86" i="7"/>
  <c r="H86" i="7"/>
  <c r="I86" i="7"/>
  <c r="F247" i="7"/>
  <c r="H247" i="7"/>
  <c r="I247" i="7"/>
  <c r="F16" i="7"/>
  <c r="H16" i="7"/>
  <c r="I16" i="7"/>
  <c r="F201" i="7"/>
  <c r="H201" i="7"/>
  <c r="I201" i="7"/>
  <c r="F75" i="7"/>
  <c r="H75" i="7"/>
  <c r="I75" i="7"/>
  <c r="F30" i="7"/>
  <c r="H30" i="7"/>
  <c r="I30" i="7"/>
  <c r="F153" i="7"/>
  <c r="H153" i="7"/>
  <c r="I153" i="7"/>
  <c r="F127" i="7"/>
  <c r="H127" i="7"/>
  <c r="I127" i="7"/>
  <c r="F38" i="7"/>
  <c r="H38" i="7"/>
  <c r="I38" i="7"/>
  <c r="F91" i="7"/>
  <c r="H91" i="7"/>
  <c r="I91" i="7"/>
  <c r="F254" i="7"/>
  <c r="H254" i="7"/>
  <c r="I254" i="7"/>
  <c r="F250" i="7"/>
  <c r="H250" i="7"/>
  <c r="I250" i="7"/>
  <c r="F93" i="7"/>
  <c r="H93" i="7"/>
  <c r="I93" i="7"/>
  <c r="F174" i="7"/>
  <c r="H174" i="7"/>
  <c r="I174" i="7"/>
  <c r="F251" i="7"/>
  <c r="H251" i="7"/>
  <c r="I251" i="7"/>
  <c r="F239" i="7"/>
  <c r="H239" i="7"/>
  <c r="I239" i="7"/>
  <c r="F105" i="7"/>
  <c r="H105" i="7"/>
  <c r="I105" i="7"/>
  <c r="F194" i="7"/>
  <c r="H194" i="7"/>
  <c r="I194" i="7"/>
  <c r="F255" i="7"/>
  <c r="H255" i="7"/>
  <c r="I255" i="7"/>
  <c r="F73" i="7"/>
  <c r="H73" i="7"/>
  <c r="I73" i="7"/>
  <c r="F163" i="7"/>
  <c r="H163" i="7"/>
  <c r="I163" i="7"/>
  <c r="F125" i="7"/>
  <c r="H125" i="7"/>
  <c r="I125" i="7"/>
  <c r="F134" i="7"/>
  <c r="H134" i="7"/>
  <c r="I134" i="7"/>
  <c r="F103" i="7"/>
  <c r="H103" i="7"/>
  <c r="I103" i="7"/>
  <c r="F122" i="7"/>
  <c r="H122" i="7"/>
  <c r="I122" i="7"/>
  <c r="F51" i="7"/>
  <c r="H51" i="7"/>
  <c r="I51" i="7"/>
  <c r="F110" i="7"/>
  <c r="H110" i="7"/>
  <c r="I110" i="7"/>
  <c r="F223" i="7"/>
  <c r="H223" i="7"/>
  <c r="I223" i="7"/>
  <c r="F158" i="7"/>
  <c r="H158" i="7"/>
  <c r="I158" i="7"/>
  <c r="F115" i="7"/>
  <c r="H115" i="7"/>
  <c r="I115" i="7"/>
  <c r="F232" i="7"/>
  <c r="H232" i="7"/>
  <c r="I232" i="7"/>
  <c r="F22" i="7"/>
  <c r="H22" i="7"/>
  <c r="I22" i="7"/>
  <c r="F210" i="7"/>
  <c r="H210" i="7"/>
  <c r="I210" i="7"/>
  <c r="F101" i="7"/>
  <c r="H101" i="7"/>
  <c r="I101" i="7"/>
  <c r="F98" i="7"/>
  <c r="H98" i="7"/>
  <c r="I98" i="7"/>
  <c r="F205" i="7"/>
  <c r="H205" i="7"/>
  <c r="I205" i="7"/>
  <c r="F212" i="7"/>
  <c r="H212" i="7"/>
  <c r="I212" i="7"/>
  <c r="F77" i="7"/>
  <c r="H77" i="7"/>
  <c r="I77" i="7"/>
  <c r="F120" i="7"/>
  <c r="H120" i="7"/>
  <c r="I120" i="7"/>
  <c r="F190" i="7"/>
  <c r="H190" i="7"/>
  <c r="I190" i="7"/>
  <c r="F24" i="7"/>
  <c r="H24" i="7"/>
  <c r="I24" i="7"/>
  <c r="F229" i="7"/>
  <c r="H229" i="7"/>
  <c r="I229" i="7"/>
  <c r="F113" i="7"/>
  <c r="H113" i="7"/>
  <c r="I113" i="7"/>
  <c r="F213" i="7"/>
  <c r="H213" i="7"/>
  <c r="I213" i="7"/>
  <c r="F32" i="7"/>
  <c r="H32" i="7"/>
  <c r="I32" i="7"/>
  <c r="F128" i="7"/>
  <c r="H128" i="7"/>
  <c r="I128" i="7"/>
  <c r="F187" i="7"/>
  <c r="H187" i="7"/>
  <c r="I187" i="7"/>
  <c r="F183" i="7"/>
  <c r="H183" i="7"/>
  <c r="I183" i="7"/>
  <c r="F137" i="7"/>
  <c r="H137" i="7"/>
  <c r="I137" i="7"/>
  <c r="F13" i="7"/>
  <c r="H13" i="7"/>
  <c r="I13" i="7"/>
  <c r="F109" i="7"/>
  <c r="H109" i="7"/>
  <c r="I109" i="7"/>
  <c r="F65" i="7"/>
  <c r="H65" i="7"/>
  <c r="I65" i="7"/>
  <c r="F224" i="7"/>
  <c r="H224" i="7"/>
  <c r="I224" i="7"/>
  <c r="F55" i="7"/>
  <c r="H55" i="7"/>
  <c r="I55" i="7"/>
  <c r="F70" i="7"/>
  <c r="H70" i="7"/>
  <c r="I70" i="7"/>
  <c r="F151" i="7"/>
  <c r="H151" i="7"/>
  <c r="I151" i="7"/>
  <c r="F131" i="7"/>
  <c r="H131" i="7"/>
  <c r="I131" i="7"/>
  <c r="F17" i="7"/>
  <c r="H17" i="7"/>
  <c r="I17" i="7"/>
  <c r="F177" i="7"/>
  <c r="H177" i="7"/>
  <c r="I177" i="7"/>
  <c r="F231" i="7"/>
  <c r="H231" i="7"/>
  <c r="I231" i="7"/>
  <c r="F18" i="7"/>
  <c r="H18" i="7"/>
  <c r="I18" i="7"/>
  <c r="F80" i="7"/>
  <c r="H80" i="7"/>
  <c r="I80" i="7"/>
  <c r="F118" i="7"/>
  <c r="H118" i="7"/>
  <c r="I118" i="7"/>
  <c r="F41" i="7"/>
  <c r="H41" i="7"/>
  <c r="I41" i="7"/>
  <c r="F171" i="7"/>
  <c r="H171" i="7"/>
  <c r="I171" i="7"/>
  <c r="F218" i="7"/>
  <c r="H218" i="7"/>
  <c r="I218" i="7"/>
  <c r="F82" i="7"/>
  <c r="H82" i="7"/>
  <c r="I82" i="7"/>
  <c r="F35" i="7"/>
  <c r="H35" i="7"/>
  <c r="I35" i="7"/>
  <c r="F234" i="7"/>
  <c r="H234" i="7"/>
  <c r="I234" i="7"/>
  <c r="F64" i="7"/>
  <c r="H64" i="7"/>
  <c r="I64" i="7"/>
  <c r="F52" i="7"/>
  <c r="H52" i="7"/>
  <c r="I52" i="7"/>
  <c r="F220" i="7"/>
  <c r="H220" i="7"/>
  <c r="I220" i="7"/>
  <c r="F162" i="7"/>
  <c r="H162" i="7"/>
  <c r="I162" i="7"/>
  <c r="F161" i="7"/>
  <c r="H161" i="7"/>
  <c r="I161" i="7"/>
  <c r="F184" i="7"/>
  <c r="H184" i="7"/>
  <c r="I184" i="7"/>
  <c r="F156" i="7"/>
  <c r="H156" i="7"/>
  <c r="I156" i="7"/>
  <c r="F252" i="7"/>
  <c r="H252" i="7"/>
  <c r="I252" i="7"/>
  <c r="F117" i="7"/>
  <c r="H117" i="7"/>
  <c r="I117" i="7"/>
  <c r="F15" i="7"/>
  <c r="H15" i="7"/>
  <c r="I15" i="7"/>
  <c r="F160" i="7"/>
  <c r="H160" i="7"/>
  <c r="I160" i="7"/>
  <c r="F85" i="7"/>
  <c r="H85" i="7"/>
  <c r="I85" i="7"/>
  <c r="F102" i="7"/>
  <c r="H102" i="7"/>
  <c r="I102" i="7"/>
  <c r="F139" i="7"/>
  <c r="H139" i="7"/>
  <c r="I139" i="7"/>
  <c r="F89" i="7"/>
  <c r="H89" i="7"/>
  <c r="I89" i="7"/>
  <c r="F46" i="7"/>
  <c r="H46" i="7"/>
  <c r="I46" i="7"/>
  <c r="F189" i="7"/>
  <c r="H189" i="7"/>
  <c r="I189" i="7"/>
  <c r="F238" i="7"/>
  <c r="H238" i="7"/>
  <c r="I238" i="7"/>
  <c r="F142" i="7"/>
  <c r="H142" i="7"/>
  <c r="I142" i="7"/>
  <c r="F217" i="7"/>
  <c r="H217" i="7"/>
  <c r="I217" i="7"/>
  <c r="F96" i="7"/>
  <c r="H96" i="7"/>
  <c r="I96" i="7"/>
  <c r="F222" i="7"/>
  <c r="H222" i="7"/>
  <c r="I222" i="7"/>
  <c r="F25" i="7"/>
  <c r="H25" i="7"/>
  <c r="I25" i="7"/>
  <c r="F60" i="7"/>
  <c r="H60" i="7"/>
  <c r="I60" i="7"/>
  <c r="F63" i="7"/>
  <c r="H63" i="7"/>
  <c r="I63" i="7"/>
  <c r="F154" i="7"/>
  <c r="H154" i="7"/>
  <c r="I154" i="7"/>
  <c r="F228" i="7"/>
  <c r="H228" i="7"/>
  <c r="I228" i="7"/>
  <c r="F236" i="7"/>
  <c r="H236" i="7"/>
  <c r="I236" i="7"/>
  <c r="F202" i="7"/>
  <c r="H202" i="7"/>
  <c r="I202" i="7"/>
  <c r="F203" i="7"/>
  <c r="H203" i="7"/>
  <c r="I203" i="7"/>
  <c r="F4" i="7"/>
  <c r="H4" i="7"/>
  <c r="I4" i="7"/>
  <c r="F34" i="7"/>
  <c r="H34" i="7"/>
  <c r="I34" i="7"/>
  <c r="F253" i="7"/>
  <c r="H253" i="7"/>
  <c r="I253" i="7"/>
  <c r="F164" i="7"/>
  <c r="H164" i="7"/>
  <c r="I164" i="7"/>
  <c r="F245" i="7"/>
  <c r="H245" i="7"/>
  <c r="I245" i="7"/>
  <c r="F53" i="7"/>
  <c r="H53" i="7"/>
  <c r="I53" i="7"/>
  <c r="F67" i="7"/>
  <c r="H67" i="7"/>
  <c r="I67" i="7"/>
  <c r="F7" i="7"/>
  <c r="H7" i="7"/>
  <c r="I7" i="7"/>
  <c r="F119" i="7"/>
  <c r="H119" i="7"/>
  <c r="I119" i="7"/>
  <c r="F136" i="7"/>
  <c r="H136" i="7"/>
  <c r="I136" i="7"/>
  <c r="F68" i="7"/>
  <c r="H68" i="7"/>
  <c r="I68" i="7"/>
  <c r="F211" i="7"/>
  <c r="H211" i="7"/>
  <c r="I211" i="7"/>
  <c r="F130" i="7"/>
  <c r="H130" i="7"/>
  <c r="I130" i="7"/>
  <c r="F192" i="7"/>
  <c r="H192" i="7"/>
  <c r="I192" i="7"/>
  <c r="F69" i="7"/>
  <c r="H69" i="7"/>
  <c r="I69" i="7"/>
  <c r="F48" i="7"/>
  <c r="H48" i="7"/>
  <c r="I48" i="7"/>
  <c r="F56" i="7"/>
  <c r="H56" i="7"/>
  <c r="I56" i="7"/>
  <c r="F44" i="7"/>
  <c r="H44" i="7"/>
  <c r="I44" i="7"/>
  <c r="F144" i="7"/>
  <c r="H144" i="7"/>
  <c r="I144" i="7"/>
  <c r="F62" i="7"/>
  <c r="H62" i="7"/>
  <c r="I62" i="7"/>
  <c r="F92" i="7"/>
  <c r="H92" i="7"/>
  <c r="I92" i="7"/>
  <c r="F83" i="7"/>
  <c r="H83" i="7"/>
  <c r="I83" i="7"/>
  <c r="F176" i="7"/>
  <c r="H176" i="7"/>
  <c r="I176" i="7"/>
  <c r="F29" i="7"/>
  <c r="H29" i="7"/>
  <c r="I29" i="7"/>
  <c r="F167" i="7"/>
  <c r="H167" i="7"/>
  <c r="I167" i="7"/>
  <c r="F112" i="7"/>
  <c r="H112" i="7"/>
  <c r="I112" i="7"/>
  <c r="F20" i="7"/>
  <c r="H20" i="7"/>
  <c r="I20" i="7"/>
  <c r="F99" i="7"/>
  <c r="H99" i="7"/>
  <c r="I99" i="7"/>
  <c r="F159" i="7"/>
  <c r="H159" i="7"/>
  <c r="I159" i="7"/>
  <c r="F66" i="7"/>
  <c r="H66" i="7"/>
  <c r="I66" i="7"/>
  <c r="F57" i="7"/>
  <c r="H57" i="7"/>
  <c r="I57" i="7"/>
  <c r="F178" i="7"/>
  <c r="H178" i="7"/>
  <c r="I178" i="7"/>
  <c r="F147" i="7"/>
  <c r="H147" i="7"/>
  <c r="I147" i="7"/>
  <c r="F150" i="7"/>
  <c r="H150" i="7"/>
  <c r="I150" i="7"/>
  <c r="F186" i="7"/>
  <c r="H186" i="7"/>
  <c r="I186" i="7"/>
  <c r="Q49" i="3" a="1"/>
  <c r="Q49" i="3"/>
  <c r="A49" i="3" a="1"/>
  <c r="A49" i="3"/>
  <c r="I49" i="3" a="1"/>
  <c r="I49" i="3"/>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6" i="4"/>
  <c r="C13" i="4"/>
  <c r="C14" i="4"/>
  <c r="C21" i="4"/>
  <c r="C20" i="4"/>
  <c r="C19" i="4"/>
  <c r="C18" i="4"/>
  <c r="C17" i="4"/>
  <c r="C16" i="4"/>
  <c r="C15" i="4"/>
  <c r="C12" i="4"/>
  <c r="C11" i="4"/>
  <c r="C10" i="4"/>
  <c r="C9" i="4"/>
  <c r="C8" i="4"/>
  <c r="C7" i="4"/>
  <c r="C6" i="4"/>
  <c r="O21" i="2"/>
  <c r="K21" i="2"/>
  <c r="G41" i="2"/>
  <c r="G37" i="2"/>
  <c r="G25" i="2"/>
  <c r="C25" i="2"/>
  <c r="D30" i="2"/>
  <c r="C29" i="2"/>
  <c r="C5" i="2"/>
  <c r="C9" i="2"/>
  <c r="C12" i="2"/>
  <c r="C13" i="2"/>
  <c r="C14" i="2"/>
  <c r="C16" i="2"/>
  <c r="C17" i="2"/>
  <c r="C18" i="2"/>
  <c r="C21" i="2"/>
  <c r="C45" i="2"/>
  <c r="C46" i="2"/>
  <c r="D5" i="2"/>
  <c r="D9" i="2"/>
  <c r="D12" i="2"/>
  <c r="D13" i="2"/>
  <c r="D14" i="2"/>
  <c r="D16" i="2"/>
  <c r="D17" i="2"/>
  <c r="D18" i="2"/>
  <c r="D21" i="2"/>
  <c r="D24" i="2"/>
  <c r="D36" i="2"/>
  <c r="D44" i="2"/>
  <c r="D45" i="2"/>
  <c r="D46" i="2"/>
  <c r="E5" i="2"/>
  <c r="E9" i="2"/>
  <c r="E21" i="2"/>
  <c r="E44" i="2"/>
  <c r="F5" i="2"/>
  <c r="F9" i="2"/>
  <c r="F21" i="2"/>
  <c r="S4" i="2"/>
  <c r="S5" i="2"/>
  <c r="S6" i="2"/>
  <c r="S8" i="2"/>
  <c r="S9" i="2"/>
  <c r="S10" i="2"/>
  <c r="S12" i="2"/>
  <c r="S13" i="2"/>
  <c r="S14" i="2"/>
  <c r="T4" i="2"/>
  <c r="T5" i="2"/>
  <c r="T6" i="2"/>
  <c r="T8" i="2"/>
  <c r="T9" i="2"/>
  <c r="T10" i="2"/>
  <c r="T12" i="2"/>
  <c r="T13" i="2"/>
  <c r="T14" i="2"/>
  <c r="U6" i="2"/>
  <c r="U8" i="2"/>
  <c r="V8" i="2"/>
  <c r="N17" i="2"/>
  <c r="M6" i="2"/>
  <c r="M17" i="2"/>
  <c r="L4" i="2"/>
  <c r="L5" i="2"/>
  <c r="L6" i="2"/>
  <c r="L8" i="2"/>
  <c r="L9" i="2"/>
  <c r="L10" i="2"/>
  <c r="L12" i="2"/>
  <c r="L13" i="2"/>
  <c r="L14" i="2"/>
  <c r="L17" i="2"/>
  <c r="K4" i="2"/>
  <c r="K5" i="2"/>
  <c r="K6" i="2"/>
  <c r="K8" i="2"/>
  <c r="K9" i="2"/>
  <c r="K10" i="2"/>
  <c r="K12" i="2"/>
  <c r="K13" i="2"/>
  <c r="K14" i="2"/>
  <c r="K17" i="2"/>
  <c r="O18" i="2"/>
  <c r="K18" i="2"/>
  <c r="O16" i="2"/>
  <c r="L16" i="2"/>
  <c r="G22" i="2"/>
  <c r="D22" i="2"/>
  <c r="G20" i="2"/>
  <c r="C20" i="2"/>
  <c r="G10" i="2"/>
  <c r="D10" i="2"/>
  <c r="G8" i="2"/>
  <c r="C8" i="2"/>
  <c r="G6" i="2"/>
  <c r="C6" i="2"/>
  <c r="G4" i="2"/>
  <c r="D4" i="2"/>
  <c r="E21" i="5" a="1"/>
  <c r="E21" i="5"/>
  <c r="G31" i="5" a="1"/>
  <c r="G31" i="5"/>
  <c r="E32" i="5" a="1"/>
  <c r="E32" i="5"/>
  <c r="E22" i="5" a="1"/>
  <c r="E22" i="5"/>
  <c r="F22" i="5" a="1"/>
  <c r="F22" i="5"/>
  <c r="G22" i="5" a="1"/>
  <c r="G22" i="5"/>
  <c r="E53" i="5" a="1"/>
  <c r="E53" i="5"/>
  <c r="G17" i="5" a="1"/>
  <c r="G17" i="5"/>
  <c r="F54" i="5" a="1"/>
  <c r="F54" i="5"/>
  <c r="E57" i="5" a="1"/>
  <c r="E57" i="5"/>
  <c r="E49" i="5" a="1"/>
  <c r="E49" i="5"/>
  <c r="F57" i="5" a="1"/>
  <c r="F57" i="5"/>
  <c r="F49" i="5" a="1"/>
  <c r="F49" i="5"/>
  <c r="G57" i="5" a="1"/>
  <c r="G57" i="5"/>
  <c r="G49" i="5" a="1"/>
  <c r="G49" i="5"/>
  <c r="E58" i="5" a="1"/>
  <c r="E58" i="5"/>
  <c r="F58" i="5" a="1"/>
  <c r="F58" i="5"/>
  <c r="G58" i="5" a="1"/>
  <c r="G58" i="5"/>
  <c r="E36" i="5" a="1"/>
  <c r="E36" i="5"/>
  <c r="F36" i="5" a="1"/>
  <c r="F36" i="5"/>
  <c r="G36" i="5" a="1"/>
  <c r="G36" i="5"/>
  <c r="M83" i="5"/>
  <c r="M69" i="5"/>
  <c r="M67" i="5"/>
  <c r="N67" i="5"/>
  <c r="N71" i="5"/>
  <c r="N26" i="5"/>
  <c r="K67" i="5"/>
  <c r="L72" i="5"/>
  <c r="L71" i="5"/>
  <c r="J72" i="5"/>
  <c r="K72" i="5"/>
  <c r="K71" i="5"/>
  <c r="M62" i="5"/>
  <c r="G13" i="5" a="1"/>
  <c r="G13" i="5"/>
  <c r="G8" i="8"/>
  <c r="J246" i="7"/>
  <c r="J21" i="7"/>
  <c r="J99" i="7"/>
  <c r="F8" i="8"/>
  <c r="I4" i="8"/>
  <c r="I8" i="8"/>
  <c r="G4" i="8"/>
  <c r="J97" i="7"/>
  <c r="J59" i="7"/>
  <c r="J52" i="7"/>
  <c r="J251" i="7"/>
  <c r="J28" i="7"/>
  <c r="J235" i="7"/>
  <c r="J19" i="7"/>
  <c r="J211" i="7"/>
  <c r="J209" i="7"/>
  <c r="J181" i="7"/>
  <c r="J175" i="7"/>
  <c r="J147" i="7"/>
  <c r="J252" i="7"/>
  <c r="J212" i="7"/>
  <c r="J180" i="7"/>
  <c r="J148" i="7"/>
  <c r="J108" i="7"/>
  <c r="J60" i="7"/>
  <c r="J27" i="7"/>
  <c r="J244" i="7"/>
  <c r="J205" i="7"/>
  <c r="J173" i="7"/>
  <c r="J140" i="7"/>
  <c r="J93" i="7"/>
  <c r="J46" i="7"/>
  <c r="J12" i="7"/>
  <c r="J243" i="7"/>
  <c r="J204" i="7"/>
  <c r="J164" i="7"/>
  <c r="J134" i="7"/>
  <c r="J79" i="7"/>
  <c r="J45" i="7"/>
  <c r="J11" i="7"/>
  <c r="J241" i="7"/>
  <c r="J198" i="7"/>
  <c r="J163" i="7"/>
  <c r="J129" i="7"/>
  <c r="J78" i="7"/>
  <c r="J44" i="7"/>
  <c r="J5" i="7"/>
  <c r="J174" i="7"/>
  <c r="J238" i="7"/>
  <c r="J196" i="7"/>
  <c r="J158" i="7"/>
  <c r="J126" i="7"/>
  <c r="J77" i="7"/>
  <c r="J43" i="7"/>
  <c r="J3" i="7"/>
  <c r="J141" i="7"/>
  <c r="J237" i="7"/>
  <c r="J195" i="7"/>
  <c r="J157" i="7"/>
  <c r="J125" i="7"/>
  <c r="J75" i="7"/>
  <c r="J39" i="7"/>
  <c r="J189" i="7"/>
  <c r="J156" i="7"/>
  <c r="J123" i="7"/>
  <c r="J70" i="7"/>
  <c r="J37" i="7"/>
  <c r="J230" i="7"/>
  <c r="J188" i="7"/>
  <c r="J155" i="7"/>
  <c r="J118" i="7"/>
  <c r="J68" i="7"/>
  <c r="J36" i="7"/>
  <c r="J227" i="7"/>
  <c r="J187" i="7"/>
  <c r="J153" i="7"/>
  <c r="J117" i="7"/>
  <c r="J62" i="7"/>
  <c r="J35" i="7"/>
  <c r="J253" i="7"/>
  <c r="J213" i="7"/>
  <c r="J150" i="7"/>
  <c r="J115" i="7"/>
  <c r="J61" i="7"/>
  <c r="J131" i="7"/>
  <c r="J255" i="7"/>
  <c r="J247" i="7"/>
  <c r="J239" i="7"/>
  <c r="J231" i="7"/>
  <c r="J223" i="7"/>
  <c r="J215" i="7"/>
  <c r="J207" i="7"/>
  <c r="J199" i="7"/>
  <c r="J191" i="7"/>
  <c r="J183" i="7"/>
  <c r="J167" i="7"/>
  <c r="J159" i="7"/>
  <c r="J151" i="7"/>
  <c r="J143" i="7"/>
  <c r="J135" i="7"/>
  <c r="J127" i="7"/>
  <c r="J119" i="7"/>
  <c r="J111" i="7"/>
  <c r="J103" i="7"/>
  <c r="J95" i="7"/>
  <c r="J87" i="7"/>
  <c r="J71" i="7"/>
  <c r="J63" i="7"/>
  <c r="J55" i="7"/>
  <c r="J47" i="7"/>
  <c r="J31" i="7"/>
  <c r="J23" i="7"/>
  <c r="J15" i="7"/>
  <c r="J7" i="7"/>
  <c r="J254" i="7"/>
  <c r="J222" i="7"/>
  <c r="J214" i="7"/>
  <c r="J206" i="7"/>
  <c r="J190" i="7"/>
  <c r="J182" i="7"/>
  <c r="J166" i="7"/>
  <c r="J142" i="7"/>
  <c r="J110" i="7"/>
  <c r="J102" i="7"/>
  <c r="J94" i="7"/>
  <c r="J86" i="7"/>
  <c r="J54" i="7"/>
  <c r="J38" i="7"/>
  <c r="J30" i="7"/>
  <c r="J22" i="7"/>
  <c r="J14" i="7"/>
  <c r="J6" i="7"/>
  <c r="J245" i="7"/>
  <c r="J229" i="7"/>
  <c r="J221" i="7"/>
  <c r="J197" i="7"/>
  <c r="J165" i="7"/>
  <c r="J149" i="7"/>
  <c r="J133" i="7"/>
  <c r="J109" i="7"/>
  <c r="J101" i="7"/>
  <c r="J85" i="7"/>
  <c r="J69" i="7"/>
  <c r="J53" i="7"/>
  <c r="J29" i="7"/>
  <c r="J13" i="7"/>
  <c r="J236" i="7"/>
  <c r="J228" i="7"/>
  <c r="J220" i="7"/>
  <c r="J172" i="7"/>
  <c r="J132" i="7"/>
  <c r="J124" i="7"/>
  <c r="J116" i="7"/>
  <c r="J100" i="7"/>
  <c r="J92" i="7"/>
  <c r="J84" i="7"/>
  <c r="J76" i="7"/>
  <c r="J20" i="7"/>
  <c r="J4" i="7"/>
  <c r="J179" i="7"/>
  <c r="J250" i="7"/>
  <c r="J242" i="7"/>
  <c r="J234" i="7"/>
  <c r="J226" i="7"/>
  <c r="J218" i="7"/>
  <c r="J210" i="7"/>
  <c r="J202" i="7"/>
  <c r="J194" i="7"/>
  <c r="J186" i="7"/>
  <c r="J178" i="7"/>
  <c r="J170" i="7"/>
  <c r="J162" i="7"/>
  <c r="J154" i="7"/>
  <c r="J146" i="7"/>
  <c r="J138" i="7"/>
  <c r="J130" i="7"/>
  <c r="J122" i="7"/>
  <c r="J114" i="7"/>
  <c r="J106" i="7"/>
  <c r="J98" i="7"/>
  <c r="J90" i="7"/>
  <c r="J82" i="7"/>
  <c r="J74" i="7"/>
  <c r="J66" i="7"/>
  <c r="J58" i="7"/>
  <c r="J50" i="7"/>
  <c r="J42" i="7"/>
  <c r="J34" i="7"/>
  <c r="J26" i="7"/>
  <c r="J18" i="7"/>
  <c r="J10" i="7"/>
  <c r="J2" i="7"/>
  <c r="J203" i="7"/>
  <c r="J249" i="7"/>
  <c r="J233" i="7"/>
  <c r="J225" i="7"/>
  <c r="J217" i="7"/>
  <c r="J201" i="7"/>
  <c r="J193" i="7"/>
  <c r="J185" i="7"/>
  <c r="J177" i="7"/>
  <c r="J169" i="7"/>
  <c r="J161" i="7"/>
  <c r="J145" i="7"/>
  <c r="J137" i="7"/>
  <c r="J121" i="7"/>
  <c r="J113" i="7"/>
  <c r="J105" i="7"/>
  <c r="J89" i="7"/>
  <c r="J81" i="7"/>
  <c r="J73" i="7"/>
  <c r="J65" i="7"/>
  <c r="J57" i="7"/>
  <c r="J49" i="7"/>
  <c r="J41" i="7"/>
  <c r="J33" i="7"/>
  <c r="J25" i="7"/>
  <c r="J17" i="7"/>
  <c r="J9" i="7"/>
  <c r="J219" i="7"/>
  <c r="J171" i="7"/>
  <c r="J139" i="7"/>
  <c r="J107" i="7"/>
  <c r="J91" i="7"/>
  <c r="J83" i="7"/>
  <c r="J67" i="7"/>
  <c r="J51" i="7"/>
  <c r="J248" i="7"/>
  <c r="M18" i="7"/>
  <c r="J240" i="7"/>
  <c r="J232" i="7"/>
  <c r="J224" i="7"/>
  <c r="J216" i="7"/>
  <c r="J208" i="7"/>
  <c r="J200" i="7"/>
  <c r="J192" i="7"/>
  <c r="J184" i="7"/>
  <c r="J176" i="7"/>
  <c r="J168" i="7"/>
  <c r="J160" i="7"/>
  <c r="J152" i="7"/>
  <c r="J144" i="7"/>
  <c r="J136" i="7"/>
  <c r="J128" i="7"/>
  <c r="J120" i="7"/>
  <c r="J112" i="7"/>
  <c r="J104" i="7"/>
  <c r="J96" i="7"/>
  <c r="J88" i="7"/>
  <c r="J80" i="7"/>
  <c r="J72" i="7"/>
  <c r="J64" i="7"/>
  <c r="J56" i="7"/>
  <c r="J48" i="7"/>
  <c r="J40" i="7"/>
  <c r="J32" i="7"/>
  <c r="J24" i="7"/>
  <c r="J16" i="7"/>
  <c r="J8" i="7"/>
  <c r="L129" i="7"/>
  <c r="N2" i="7"/>
  <c r="N3" i="7"/>
  <c r="N4" i="7"/>
  <c r="N5" i="7"/>
  <c r="M19" i="4"/>
  <c r="L19" i="4"/>
  <c r="M18" i="4"/>
  <c r="L18" i="4"/>
  <c r="M15" i="4"/>
  <c r="L15" i="4"/>
  <c r="M14" i="4"/>
  <c r="L14" i="4"/>
  <c r="M13" i="4"/>
  <c r="L13" i="4"/>
  <c r="M12" i="4"/>
  <c r="L12" i="4"/>
  <c r="L9" i="4"/>
  <c r="M8" i="4"/>
  <c r="L8" i="4"/>
  <c r="M7" i="4"/>
  <c r="G6" i="4"/>
  <c r="N21" i="2"/>
  <c r="M21" i="2"/>
  <c r="L21" i="2"/>
  <c r="D25" i="2"/>
  <c r="K16" i="2"/>
  <c r="L18" i="2"/>
  <c r="D20" i="2"/>
  <c r="D8" i="2"/>
  <c r="C22" i="2"/>
  <c r="D6" i="2"/>
  <c r="C4" i="2"/>
  <c r="O20" i="2"/>
  <c r="E10" i="2"/>
  <c r="C10" i="2"/>
  <c r="O22" i="2"/>
  <c r="L22" i="2"/>
  <c r="F10" i="2"/>
  <c r="C36" i="2"/>
  <c r="C24" i="2"/>
  <c r="C30" i="2"/>
  <c r="E30" i="2"/>
  <c r="D29" i="2"/>
  <c r="J71" i="5"/>
  <c r="M72" i="5"/>
  <c r="M71" i="5"/>
  <c r="O18" i="7"/>
  <c r="R18" i="7"/>
  <c r="T18" i="7"/>
  <c r="F96" i="5"/>
  <c r="E13" i="5" a="1"/>
  <c r="E13" i="5"/>
  <c r="F13" i="5" a="1"/>
  <c r="F13" i="5"/>
  <c r="M17" i="7"/>
  <c r="O17" i="7"/>
  <c r="R17" i="7"/>
  <c r="T17" i="7"/>
  <c r="M13" i="7"/>
  <c r="O13" i="7"/>
  <c r="R13" i="7"/>
  <c r="T13" i="7"/>
  <c r="M11" i="7"/>
  <c r="O11" i="7"/>
  <c r="R11" i="7"/>
  <c r="T11" i="7"/>
  <c r="M10" i="7"/>
  <c r="O10" i="7"/>
  <c r="R10" i="7"/>
  <c r="T10" i="7"/>
  <c r="M14" i="7"/>
  <c r="O14" i="7"/>
  <c r="R14" i="7"/>
  <c r="T14" i="7"/>
  <c r="M9" i="7"/>
  <c r="O9" i="7"/>
  <c r="R9" i="7"/>
  <c r="M19" i="7"/>
  <c r="O19" i="7"/>
  <c r="R19" i="7"/>
  <c r="T19" i="7"/>
  <c r="M16" i="7"/>
  <c r="O16" i="7"/>
  <c r="R16" i="7"/>
  <c r="T16" i="7"/>
  <c r="M12" i="7"/>
  <c r="O12" i="7"/>
  <c r="R12" i="7"/>
  <c r="T12" i="7"/>
  <c r="M15" i="7"/>
  <c r="O15" i="7"/>
  <c r="R15" i="7"/>
  <c r="T15" i="7"/>
  <c r="M6" i="4"/>
  <c r="F18" i="5" a="1"/>
  <c r="F18" i="5"/>
  <c r="K22" i="2"/>
  <c r="R20" i="7"/>
  <c r="T20" i="7"/>
  <c r="T9" i="7"/>
  <c r="O20" i="7"/>
  <c r="C28" i="2"/>
  <c r="D28" i="2"/>
  <c r="L22" i="5"/>
  <c r="K22" i="5"/>
  <c r="J22" i="5"/>
  <c r="M22" i="5"/>
  <c r="J21" i="5"/>
  <c r="L21" i="5"/>
  <c r="K21" i="5"/>
  <c r="M21" i="5"/>
  <c r="L18" i="5"/>
  <c r="K18" i="5"/>
  <c r="J18" i="5"/>
  <c r="M18" i="5"/>
  <c r="L17" i="5"/>
  <c r="K17" i="5"/>
  <c r="J17" i="5"/>
  <c r="M17" i="5"/>
  <c r="J13" i="5"/>
  <c r="J26" i="5"/>
  <c r="K13" i="5"/>
  <c r="K26" i="5"/>
  <c r="L13" i="5"/>
  <c r="L26" i="5"/>
  <c r="M13" i="5"/>
  <c r="M26" i="5"/>
  <c r="M81" i="5"/>
  <c r="M79" i="5"/>
  <c r="G88" i="5"/>
  <c r="G84" i="5"/>
  <c r="M44" i="3"/>
  <c r="L44" i="3"/>
  <c r="K44" i="3"/>
  <c r="E36" i="3"/>
  <c r="E35" i="3"/>
  <c r="C36" i="3"/>
  <c r="C35" i="3"/>
  <c r="M36" i="3"/>
  <c r="L36" i="3"/>
  <c r="K36" i="3"/>
  <c r="E44" i="3"/>
  <c r="E43" i="3"/>
  <c r="K40" i="3"/>
  <c r="M16" i="3"/>
  <c r="K16" i="3"/>
  <c r="L16" i="3"/>
  <c r="U20" i="3"/>
  <c r="T20" i="3"/>
  <c r="I50" i="5" a="1"/>
  <c r="I50" i="5"/>
  <c r="S20" i="3"/>
  <c r="C32" i="3"/>
  <c r="D32" i="3"/>
  <c r="E32" i="3"/>
  <c r="D40" i="3"/>
  <c r="C40" i="3"/>
  <c r="E40" i="3"/>
  <c r="K23" i="3"/>
  <c r="K25" i="3"/>
  <c r="M32" i="3"/>
  <c r="L32" i="3"/>
  <c r="K32" i="3"/>
  <c r="M41" i="3"/>
  <c r="M39" i="3"/>
  <c r="C43" i="3"/>
  <c r="C45" i="3"/>
  <c r="E15" i="3"/>
  <c r="E17" i="3"/>
  <c r="T32" i="3"/>
  <c r="U32" i="3"/>
  <c r="S32" i="3"/>
  <c r="S17" i="3"/>
  <c r="S15" i="3"/>
  <c r="D28" i="3"/>
  <c r="C28" i="3"/>
  <c r="E28" i="3"/>
  <c r="C24" i="3"/>
  <c r="E24" i="3"/>
  <c r="I14" i="5" a="1"/>
  <c r="I14" i="5"/>
  <c r="D24" i="3"/>
  <c r="K28" i="3"/>
  <c r="L28" i="3"/>
  <c r="M28" i="3"/>
  <c r="U29" i="3"/>
  <c r="U27" i="3"/>
  <c r="S24" i="3"/>
  <c r="U24" i="3"/>
  <c r="T24" i="3"/>
  <c r="E20" i="3"/>
  <c r="D20" i="3"/>
  <c r="C20" i="3"/>
  <c r="L20" i="3"/>
  <c r="K20" i="3"/>
  <c r="M20" i="3"/>
  <c r="S36" i="3"/>
  <c r="T36" i="3"/>
  <c r="U36" i="3"/>
  <c r="L24" i="3"/>
  <c r="T16" i="3"/>
  <c r="D44" i="3"/>
  <c r="F44" i="3"/>
  <c r="M24" i="3"/>
  <c r="U16" i="3"/>
  <c r="D36" i="3"/>
  <c r="S28" i="3"/>
  <c r="E45" i="3"/>
  <c r="D16" i="3"/>
  <c r="L40" i="3"/>
  <c r="T28" i="3"/>
  <c r="C16" i="3"/>
  <c r="V16" i="3"/>
  <c r="H39" i="5" a="1"/>
  <c r="H39" i="5"/>
  <c r="E97" i="5"/>
  <c r="G68" i="5"/>
  <c r="E81" i="5"/>
  <c r="G69" i="5"/>
  <c r="F76" i="5"/>
  <c r="I45" i="5"/>
  <c r="F68" i="5"/>
  <c r="H68" i="5"/>
  <c r="E62" i="5"/>
  <c r="L93" i="5"/>
  <c r="E94" i="5"/>
  <c r="J92" i="5"/>
  <c r="L92" i="5"/>
  <c r="K93" i="5"/>
  <c r="H93" i="5"/>
  <c r="J93" i="5"/>
  <c r="K94" i="5"/>
  <c r="F62" i="5"/>
  <c r="H92" i="5"/>
  <c r="E92" i="5"/>
  <c r="L94" i="5"/>
  <c r="N91" i="5"/>
  <c r="H94" i="5"/>
  <c r="M92" i="5"/>
  <c r="F45" i="5"/>
  <c r="M94" i="5"/>
  <c r="G93" i="5"/>
  <c r="F94" i="5"/>
  <c r="G92" i="5"/>
  <c r="F93" i="5"/>
  <c r="F44" i="5"/>
  <c r="G45" i="5"/>
  <c r="E45" i="5"/>
  <c r="F77" i="5"/>
  <c r="G44" i="5"/>
  <c r="H36" i="5" a="1"/>
  <c r="H36" i="5"/>
  <c r="E44" i="5"/>
  <c r="C65" i="5"/>
  <c r="I87" i="5"/>
  <c r="G62" i="5"/>
  <c r="E98" i="5"/>
  <c r="E82" i="5"/>
  <c r="G82" i="5"/>
  <c r="F82" i="5"/>
  <c r="H54" i="5" a="1"/>
  <c r="H54" i="5"/>
  <c r="H53" i="5" a="1"/>
  <c r="H53" i="5"/>
  <c r="E89" i="5"/>
  <c r="F89" i="5"/>
  <c r="G97" i="5"/>
  <c r="I75" i="5"/>
  <c r="G77" i="5"/>
  <c r="G81" i="5"/>
  <c r="H21" i="5" a="1"/>
  <c r="H21" i="5"/>
  <c r="E88" i="5"/>
  <c r="F88" i="5"/>
  <c r="E76" i="5"/>
  <c r="G26" i="5"/>
  <c r="H18" i="5" a="1"/>
  <c r="H18" i="5"/>
  <c r="E26" i="5"/>
  <c r="H17" i="5" a="1"/>
  <c r="H17" i="5"/>
  <c r="F26" i="5"/>
  <c r="G80" i="5"/>
  <c r="F80" i="5"/>
  <c r="E80" i="5"/>
  <c r="G96" i="5"/>
  <c r="F84" i="5"/>
  <c r="E96" i="5"/>
  <c r="H35" i="5" a="1"/>
  <c r="H35" i="5"/>
  <c r="N44" i="5"/>
  <c r="I26" i="5"/>
  <c r="H13" i="5" a="1"/>
  <c r="H13" i="5"/>
  <c r="I62" i="5"/>
  <c r="H49" i="5" a="1"/>
  <c r="H49" i="5"/>
  <c r="I44" i="5"/>
  <c r="H57" i="5" a="1"/>
  <c r="H57" i="5"/>
  <c r="N62" i="5"/>
  <c r="N45" i="5"/>
  <c r="H40" i="5" a="1"/>
  <c r="H40" i="5"/>
  <c r="H32" i="5" a="1"/>
  <c r="H32" i="5"/>
  <c r="H22" i="5" a="1"/>
  <c r="H22" i="5"/>
  <c r="H58" i="5" a="1"/>
  <c r="H58" i="5"/>
  <c r="H31" i="5" a="1"/>
  <c r="H31" i="5"/>
  <c r="I27" i="5"/>
  <c r="N14" i="5"/>
  <c r="I63" i="5"/>
  <c r="N63" i="5"/>
  <c r="E37" i="3"/>
  <c r="C37" i="3"/>
  <c r="V32" i="3"/>
  <c r="V33" i="3"/>
  <c r="F32" i="3"/>
  <c r="N24" i="3"/>
  <c r="N25" i="3"/>
  <c r="V20" i="3"/>
  <c r="V21" i="3"/>
  <c r="N40" i="3"/>
  <c r="N41" i="3"/>
  <c r="N39" i="3"/>
  <c r="V28" i="3"/>
  <c r="N16" i="3"/>
  <c r="N17" i="3"/>
  <c r="F24" i="3"/>
  <c r="F23" i="3"/>
  <c r="N32" i="3"/>
  <c r="N33" i="3"/>
  <c r="F20" i="3"/>
  <c r="F21" i="3"/>
  <c r="L35" i="3"/>
  <c r="L37" i="3"/>
  <c r="M35" i="3"/>
  <c r="M37" i="3"/>
  <c r="V36" i="3"/>
  <c r="V37" i="3"/>
  <c r="K43" i="3"/>
  <c r="K45" i="3"/>
  <c r="N20" i="3"/>
  <c r="N19" i="3"/>
  <c r="K39" i="3"/>
  <c r="K41" i="3"/>
  <c r="L43" i="3"/>
  <c r="L45" i="3"/>
  <c r="V31" i="3"/>
  <c r="N44" i="3"/>
  <c r="N36" i="3"/>
  <c r="K35" i="3"/>
  <c r="K37" i="3"/>
  <c r="M45" i="3"/>
  <c r="M43" i="3"/>
  <c r="F43" i="3"/>
  <c r="F45" i="3"/>
  <c r="V29" i="3"/>
  <c r="V27" i="3"/>
  <c r="M19" i="3"/>
  <c r="M21" i="3"/>
  <c r="T27" i="3"/>
  <c r="T29" i="3"/>
  <c r="U37" i="3"/>
  <c r="U35" i="3"/>
  <c r="L27" i="3"/>
  <c r="L29" i="3"/>
  <c r="L41" i="3"/>
  <c r="L39" i="3"/>
  <c r="U17" i="3"/>
  <c r="U15" i="3"/>
  <c r="T37" i="3"/>
  <c r="T35" i="3"/>
  <c r="C21" i="3"/>
  <c r="C19" i="3"/>
  <c r="K27" i="3"/>
  <c r="K29" i="3"/>
  <c r="C29" i="3"/>
  <c r="C27" i="3"/>
  <c r="L33" i="3"/>
  <c r="L31" i="3"/>
  <c r="D41" i="3"/>
  <c r="D39" i="3"/>
  <c r="U19" i="3"/>
  <c r="G50" i="5" a="1"/>
  <c r="G50" i="5"/>
  <c r="G63" i="5"/>
  <c r="U21" i="3"/>
  <c r="M31" i="3"/>
  <c r="M33" i="3"/>
  <c r="L15" i="3"/>
  <c r="L17" i="3"/>
  <c r="D33" i="3"/>
  <c r="D31" i="3"/>
  <c r="C15" i="3"/>
  <c r="F16" i="3"/>
  <c r="C17" i="3"/>
  <c r="S25" i="3"/>
  <c r="S23" i="3"/>
  <c r="E27" i="3"/>
  <c r="E29" i="3"/>
  <c r="D15" i="3"/>
  <c r="D17" i="3"/>
  <c r="M23" i="3"/>
  <c r="M25" i="3"/>
  <c r="D19" i="3"/>
  <c r="D21" i="3"/>
  <c r="D23" i="3"/>
  <c r="D25" i="3"/>
  <c r="F14" i="5" a="1"/>
  <c r="F14" i="5"/>
  <c r="F27" i="5"/>
  <c r="D29" i="3"/>
  <c r="D27" i="3"/>
  <c r="E33" i="3"/>
  <c r="E31" i="3"/>
  <c r="V17" i="3"/>
  <c r="V15" i="3"/>
  <c r="T15" i="3"/>
  <c r="T17" i="3"/>
  <c r="T25" i="3"/>
  <c r="T23" i="3"/>
  <c r="G14" i="5" a="1"/>
  <c r="G14" i="5"/>
  <c r="G27" i="5"/>
  <c r="E23" i="3"/>
  <c r="E25" i="3"/>
  <c r="S31" i="3"/>
  <c r="S33" i="3"/>
  <c r="C31" i="3"/>
  <c r="C33" i="3"/>
  <c r="K15" i="3"/>
  <c r="K17" i="3"/>
  <c r="L25" i="3"/>
  <c r="L23" i="3"/>
  <c r="K19" i="3"/>
  <c r="K21" i="3"/>
  <c r="U25" i="3"/>
  <c r="U23" i="3"/>
  <c r="N28" i="3"/>
  <c r="C23" i="3"/>
  <c r="C25" i="3"/>
  <c r="E14" i="5" a="1"/>
  <c r="E14" i="5"/>
  <c r="U33" i="3"/>
  <c r="U31" i="3"/>
  <c r="E41" i="3"/>
  <c r="E39" i="3"/>
  <c r="S19" i="3"/>
  <c r="E50" i="5" a="1"/>
  <c r="E50" i="5"/>
  <c r="S21" i="3"/>
  <c r="M17" i="3"/>
  <c r="M15" i="3"/>
  <c r="D43" i="3"/>
  <c r="D45" i="3"/>
  <c r="S37" i="3"/>
  <c r="S35" i="3"/>
  <c r="E19" i="3"/>
  <c r="E21" i="3"/>
  <c r="F33" i="3"/>
  <c r="F31" i="3"/>
  <c r="S29" i="3"/>
  <c r="S27" i="3"/>
  <c r="L19" i="3"/>
  <c r="L21" i="3"/>
  <c r="M29" i="3"/>
  <c r="M27" i="3"/>
  <c r="C39" i="3"/>
  <c r="C41" i="3"/>
  <c r="D37" i="3"/>
  <c r="D35" i="3"/>
  <c r="F36" i="3"/>
  <c r="V24" i="3"/>
  <c r="F28" i="3"/>
  <c r="T31" i="3"/>
  <c r="T33" i="3"/>
  <c r="K31" i="3"/>
  <c r="K33" i="3"/>
  <c r="F40" i="3"/>
  <c r="F50" i="5" a="1"/>
  <c r="F50" i="5"/>
  <c r="F63" i="5"/>
  <c r="T21" i="3"/>
  <c r="T19" i="3"/>
  <c r="H77" i="5"/>
  <c r="K91" i="5"/>
  <c r="I79" i="5"/>
  <c r="F81" i="5"/>
  <c r="H81" i="5"/>
  <c r="F97" i="5"/>
  <c r="H97" i="5"/>
  <c r="E69" i="5"/>
  <c r="F69" i="5"/>
  <c r="E73" i="5"/>
  <c r="G73" i="5"/>
  <c r="F73" i="5"/>
  <c r="G85" i="5"/>
  <c r="E85" i="5"/>
  <c r="F85" i="5"/>
  <c r="E91" i="5"/>
  <c r="J91" i="5"/>
  <c r="G79" i="5"/>
  <c r="H88" i="5"/>
  <c r="I95" i="5"/>
  <c r="H91" i="5"/>
  <c r="L91" i="5"/>
  <c r="M91" i="5"/>
  <c r="F91" i="5"/>
  <c r="G91" i="5"/>
  <c r="H45" i="5"/>
  <c r="H89" i="5"/>
  <c r="H44" i="5"/>
  <c r="F98" i="5"/>
  <c r="E86" i="5"/>
  <c r="F86" i="5"/>
  <c r="G86" i="5"/>
  <c r="F78" i="5"/>
  <c r="F75" i="5"/>
  <c r="G78" i="5"/>
  <c r="G75" i="5"/>
  <c r="E78" i="5"/>
  <c r="E75" i="5"/>
  <c r="I83" i="5"/>
  <c r="G98" i="5"/>
  <c r="G95" i="5"/>
  <c r="H82" i="5"/>
  <c r="E70" i="5"/>
  <c r="F70" i="5"/>
  <c r="G70" i="5"/>
  <c r="G67" i="5"/>
  <c r="I67" i="5"/>
  <c r="G90" i="5"/>
  <c r="G87" i="5"/>
  <c r="E90" i="5"/>
  <c r="E87" i="5"/>
  <c r="F90" i="5"/>
  <c r="F87" i="5"/>
  <c r="F74" i="5"/>
  <c r="G74" i="5"/>
  <c r="E74" i="5"/>
  <c r="E79" i="5"/>
  <c r="H76" i="5"/>
  <c r="H26" i="5"/>
  <c r="H80" i="5"/>
  <c r="H84" i="5"/>
  <c r="E95" i="5"/>
  <c r="H96" i="5"/>
  <c r="H62" i="5"/>
  <c r="I71" i="5"/>
  <c r="E72" i="5"/>
  <c r="F72" i="5"/>
  <c r="G72" i="5"/>
  <c r="G71" i="5"/>
  <c r="K14" i="5"/>
  <c r="K27" i="5"/>
  <c r="J14" i="5"/>
  <c r="J27" i="5"/>
  <c r="L14" i="5"/>
  <c r="L27" i="5"/>
  <c r="M14" i="5"/>
  <c r="M27" i="5"/>
  <c r="N27" i="5"/>
  <c r="J8" i="5"/>
  <c r="N15" i="3"/>
  <c r="O39" i="3"/>
  <c r="F19" i="3"/>
  <c r="G19" i="3"/>
  <c r="V19" i="3"/>
  <c r="N23" i="3"/>
  <c r="O23" i="3"/>
  <c r="G45" i="3"/>
  <c r="O25" i="3"/>
  <c r="F25" i="3"/>
  <c r="G25" i="3"/>
  <c r="N31" i="3"/>
  <c r="O31" i="3"/>
  <c r="W31" i="3"/>
  <c r="O41" i="3"/>
  <c r="G43" i="3"/>
  <c r="W17" i="3"/>
  <c r="V35" i="3"/>
  <c r="W35" i="3"/>
  <c r="N37" i="3"/>
  <c r="O37" i="3"/>
  <c r="N35" i="3"/>
  <c r="O35" i="3"/>
  <c r="W15" i="3"/>
  <c r="N45" i="3"/>
  <c r="O45" i="3"/>
  <c r="N43" i="3"/>
  <c r="O43" i="3"/>
  <c r="N21" i="3"/>
  <c r="O21" i="3"/>
  <c r="W19" i="3"/>
  <c r="O17" i="3"/>
  <c r="W37" i="3"/>
  <c r="V23" i="3"/>
  <c r="W23" i="3"/>
  <c r="V25" i="3"/>
  <c r="W25" i="3"/>
  <c r="G31" i="3"/>
  <c r="G33" i="3"/>
  <c r="G23" i="3"/>
  <c r="W29" i="3"/>
  <c r="F29" i="3"/>
  <c r="G29" i="3"/>
  <c r="F27" i="3"/>
  <c r="G27" i="3"/>
  <c r="H50" i="5" a="1"/>
  <c r="H50" i="5"/>
  <c r="H63" i="5"/>
  <c r="E63" i="5"/>
  <c r="O19" i="3"/>
  <c r="N29" i="3"/>
  <c r="O29" i="3"/>
  <c r="N27" i="3"/>
  <c r="O27" i="3"/>
  <c r="F35" i="3"/>
  <c r="G35" i="3"/>
  <c r="F37" i="3"/>
  <c r="G37" i="3"/>
  <c r="W21" i="3"/>
  <c r="F39" i="3"/>
  <c r="G39" i="3"/>
  <c r="F41" i="3"/>
  <c r="G41" i="3"/>
  <c r="W27" i="3"/>
  <c r="O15" i="3"/>
  <c r="F15" i="3"/>
  <c r="G15" i="3"/>
  <c r="F17" i="3"/>
  <c r="G17" i="3"/>
  <c r="G21" i="3"/>
  <c r="H14" i="5" a="1"/>
  <c r="H14" i="5"/>
  <c r="H27" i="5"/>
  <c r="E27" i="5"/>
  <c r="W33" i="3"/>
  <c r="O33" i="3"/>
  <c r="G83" i="5"/>
  <c r="F79" i="5"/>
  <c r="H85" i="5"/>
  <c r="F83" i="5"/>
  <c r="E83" i="5"/>
  <c r="H73" i="5"/>
  <c r="F67" i="5"/>
  <c r="H69" i="5"/>
  <c r="E71" i="5"/>
  <c r="H74" i="5"/>
  <c r="H86" i="5"/>
  <c r="H83" i="5"/>
  <c r="E8" i="5"/>
  <c r="H98" i="5"/>
  <c r="H95" i="5"/>
  <c r="F95" i="5"/>
  <c r="H78" i="5"/>
  <c r="H75" i="5"/>
  <c r="H70" i="5"/>
  <c r="E67" i="5"/>
  <c r="H90" i="5"/>
  <c r="H87" i="5"/>
  <c r="F71" i="5"/>
  <c r="H79" i="5"/>
  <c r="H72" i="5"/>
  <c r="H67" i="5"/>
  <c r="H71"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<sst xmlns="http://schemas.openxmlformats.org/spreadsheetml/2006/main" count="1179" uniqueCount="479">
  <si>
    <t xml:space="preserve">Purpose </t>
  </si>
  <si>
    <r>
      <t xml:space="preserve">To allow applicants for YP program(s) to plan their staffing patterns and anticipate what their performance measures will look like if they are selected for an award.  </t>
    </r>
    <r>
      <rPr>
        <b/>
        <sz val="12"/>
        <rFont val="Arial"/>
        <family val="2"/>
      </rPr>
      <t>NOTE: This sheet may not be submitted with an application, and will not be considered when applications are evaluated.</t>
    </r>
  </si>
  <si>
    <t xml:space="preserve">Eligibility of program types </t>
  </si>
  <si>
    <t>Four (4) Youth Prevention Programs (this includes Youth Prevention Universal, Youth Prevention Indicated, and Youth Prevention Selected) per organization or agency per HHS Region and can be funded for five (5) programs if at least one of the programs is a Family-Focused Program. No organization is eligible to receive more than two (2) awards per program type for youth programs (i.e. an organization will not receive funding for more than two (2) YPUs)</t>
  </si>
  <si>
    <t>FTE</t>
  </si>
  <si>
    <r>
      <t xml:space="preserve">On the "Estimated Performance Measures" sheet, performance measures will adjust based on number of Full Time Employees (FTE) entered per curriculum and program type based on the selected percentage of agency effort selected on the "YP Education Measure Ranges" sheet.  </t>
    </r>
    <r>
      <rPr>
        <b/>
        <sz val="12"/>
        <color rgb="FF000000"/>
        <rFont val="Arial"/>
        <family val="2"/>
      </rPr>
      <t xml:space="preserve">FTE should only include staff providing direct services. </t>
    </r>
  </si>
  <si>
    <t xml:space="preserve">Instructions for Use </t>
  </si>
  <si>
    <r>
      <rPr>
        <b/>
        <sz val="12"/>
        <color rgb="FF000000"/>
        <rFont val="Arial"/>
      </rPr>
      <t>Step 1</t>
    </r>
    <r>
      <rPr>
        <sz val="12"/>
        <color rgb="FF000000"/>
        <rFont val="Arial"/>
      </rPr>
      <t xml:space="preserve">: Enter anticipated total funding for YP programs (this should include the total funding for ALL YP programs in an application) in EPM Tab Cell A5. Please note, there is an assumed minimum of $25 spent per person, including both youth and adults served across all YP activities in all YP programs.                                                                                                                                                                                                      </t>
    </r>
    <r>
      <rPr>
        <b/>
        <sz val="12"/>
        <color rgb="FF000000"/>
        <rFont val="Arial"/>
      </rPr>
      <t>Step 2</t>
    </r>
    <r>
      <rPr>
        <sz val="12"/>
        <color rgb="FF000000"/>
        <rFont val="Arial"/>
      </rPr>
      <t xml:space="preserve">: Select each YP curriculum for each program in the application and enter anticipated number of full-time equivalents in the spaces provided on the EPM.  The tool will then automatically calculate measures based on data entered.
</t>
    </r>
    <r>
      <rPr>
        <b/>
        <sz val="12"/>
        <color rgb="FF000000"/>
        <rFont val="Arial"/>
      </rPr>
      <t>Step 3</t>
    </r>
    <r>
      <rPr>
        <sz val="12"/>
        <color rgb="FF000000"/>
        <rFont val="Arial"/>
      </rPr>
      <t>: The EPM will calculate the total anticipated people to be served based on the anticipated funding data (cell E5). Cell E6 will then populate based on curricula selected and total FTE data.  If cell E6 is green, the total in that cell matches or exceeds the total in cell E5.  In this case, the measures meet or exceed the maximum cost per person served.  If cell E6 is red, the maximum cost per person served has been exceeded by the projection, and tweaks (potentially adding FTEs or increasing measures served) will be needed in the event an application is selected for award.</t>
    </r>
  </si>
  <si>
    <t>Percentages of Agency Effort</t>
  </si>
  <si>
    <r>
      <t xml:space="preserve">On the "YP Education Measure Ranges" sheet - the percentages represent the total percentage of effort that your agency will allocate to each of these strategies. </t>
    </r>
    <r>
      <rPr>
        <b/>
        <sz val="12"/>
        <color rgb="FF000000"/>
        <rFont val="Arial"/>
        <family val="2"/>
      </rPr>
      <t>This does not have to represent the time allocation of a single FTE, but rather the total time across the agency for all FTEs.</t>
    </r>
    <r>
      <rPr>
        <sz val="12"/>
        <color rgb="FF000000"/>
        <rFont val="Arial"/>
        <family val="2"/>
      </rPr>
      <t xml:space="preserve"> These percentages can be altered, and this will reflect in the total performance measure expectations on the "Estimated Performance Measures" sheet. Note: the </t>
    </r>
    <r>
      <rPr>
        <b/>
        <sz val="12"/>
        <color rgb="FF000000"/>
        <rFont val="Arial"/>
        <family val="2"/>
      </rPr>
      <t>TOTAL column must add up to 100%</t>
    </r>
    <r>
      <rPr>
        <sz val="12"/>
        <color rgb="FF000000"/>
        <rFont val="Arial"/>
        <family val="2"/>
      </rPr>
      <t xml:space="preserve">. If increasing Alternative - activities will need to be structured and approved via implementation plans. </t>
    </r>
  </si>
  <si>
    <t>Family Focused Curriculum Details</t>
  </si>
  <si>
    <t xml:space="preserve">Please note, Strengthening Families Program and Guiding Good Choices require 2 FTE for implementation; therefore, annual numbers will be double what is shown on the chart on "YP Education Measures Ranges" sheet. Additionally, Guiding Good Choices carries the expectation of conducting concurrent Alternatives with the parent/caregiver's youth. The measure for number of youth served with Alternatives will be adjusted accordingly if Guiding Good Choices is selected. </t>
  </si>
  <si>
    <t>Possible Reasons for Red Highlighting and Text on Estimated Performane Measures Sheet</t>
  </si>
  <si>
    <r>
      <t>The "</t>
    </r>
    <r>
      <rPr>
        <i/>
        <sz val="12"/>
        <color theme="1"/>
        <rFont val="Arial"/>
        <family val="2"/>
      </rPr>
      <t>Total Formula-Projected People Served,</t>
    </r>
    <r>
      <rPr>
        <sz val="12"/>
        <color theme="1"/>
        <rFont val="Arial"/>
        <family val="2"/>
      </rPr>
      <t>" "</t>
    </r>
    <r>
      <rPr>
        <i/>
        <sz val="12"/>
        <color theme="1"/>
        <rFont val="Arial"/>
        <family val="2"/>
      </rPr>
      <t>Total Proposed People Served,</t>
    </r>
    <r>
      <rPr>
        <sz val="12"/>
        <color theme="1"/>
        <rFont val="Arial"/>
        <family val="2"/>
      </rPr>
      <t>" or "</t>
    </r>
    <r>
      <rPr>
        <i/>
        <sz val="12"/>
        <color theme="1"/>
        <rFont val="Arial"/>
        <family val="2"/>
      </rPr>
      <t xml:space="preserve">Total Approved People Served" </t>
    </r>
    <r>
      <rPr>
        <sz val="12"/>
        <color theme="1"/>
        <rFont val="Arial"/>
        <family val="2"/>
      </rPr>
      <t>at the top of the sheet is less than the "</t>
    </r>
    <r>
      <rPr>
        <i/>
        <sz val="12"/>
        <color theme="1"/>
        <rFont val="Arial"/>
        <family val="2"/>
      </rPr>
      <t>Minimum People Served</t>
    </r>
    <r>
      <rPr>
        <sz val="12"/>
        <color theme="1"/>
        <rFont val="Arial"/>
        <family val="2"/>
      </rPr>
      <t xml:space="preserve">". They will be green if they are higher. </t>
    </r>
  </si>
  <si>
    <r>
      <t>For the Annual column totals under the "</t>
    </r>
    <r>
      <rPr>
        <i/>
        <sz val="12"/>
        <color theme="1"/>
        <rFont val="Arial"/>
        <family val="2"/>
      </rPr>
      <t xml:space="preserve">Proposed Performance Measures" and "Approved Performance Measures" </t>
    </r>
    <r>
      <rPr>
        <sz val="12"/>
        <color theme="1"/>
        <rFont val="Arial"/>
        <family val="2"/>
      </rPr>
      <t>sections:</t>
    </r>
  </si>
  <si>
    <r>
      <t>1. The total is +/- 10% of the Annual total in the "</t>
    </r>
    <r>
      <rPr>
        <i/>
        <sz val="12"/>
        <color theme="1"/>
        <rFont val="Arial"/>
        <family val="2"/>
      </rPr>
      <t>Formula-Projected</t>
    </r>
    <r>
      <rPr>
        <sz val="12"/>
        <color theme="1"/>
        <rFont val="Arial"/>
        <family val="2"/>
      </rPr>
      <t>" measures.</t>
    </r>
  </si>
  <si>
    <r>
      <t>2. The total in the Annual column is blank or equal to 0 while there is a "</t>
    </r>
    <r>
      <rPr>
        <i/>
        <sz val="12"/>
        <color theme="1"/>
        <rFont val="Arial"/>
        <family val="2"/>
      </rPr>
      <t>Formula-Projected</t>
    </r>
    <r>
      <rPr>
        <sz val="12"/>
        <color theme="1"/>
        <rFont val="Arial"/>
        <family val="2"/>
      </rPr>
      <t>" total in the Annual column (i.e., there should be a number for the "</t>
    </r>
    <r>
      <rPr>
        <i/>
        <sz val="12"/>
        <color theme="1"/>
        <rFont val="Arial"/>
        <family val="2"/>
      </rPr>
      <t xml:space="preserve">Proposed" </t>
    </r>
    <r>
      <rPr>
        <sz val="12"/>
        <color theme="1"/>
        <rFont val="Arial"/>
        <family val="2"/>
      </rPr>
      <t>or</t>
    </r>
    <r>
      <rPr>
        <i/>
        <sz val="12"/>
        <color theme="1"/>
        <rFont val="Arial"/>
        <family val="2"/>
      </rPr>
      <t xml:space="preserve"> "Approved"</t>
    </r>
    <r>
      <rPr>
        <sz val="12"/>
        <color theme="1"/>
        <rFont val="Arial"/>
        <family val="2"/>
      </rPr>
      <t xml:space="preserve"> total).</t>
    </r>
  </si>
  <si>
    <r>
      <t>3. The total in the Annual column has a number listed when there is a 0 in the "</t>
    </r>
    <r>
      <rPr>
        <i/>
        <sz val="12"/>
        <color theme="1"/>
        <rFont val="Arial"/>
        <family val="2"/>
      </rPr>
      <t>Formula-Projected</t>
    </r>
    <r>
      <rPr>
        <sz val="12"/>
        <color theme="1"/>
        <rFont val="Arial"/>
        <family val="2"/>
      </rPr>
      <t xml:space="preserve">" Annual column (i.e., there should not be any number for the </t>
    </r>
    <r>
      <rPr>
        <i/>
        <sz val="12"/>
        <color theme="1"/>
        <rFont val="Arial"/>
        <family val="2"/>
      </rPr>
      <t xml:space="preserve">"Proposed" </t>
    </r>
    <r>
      <rPr>
        <sz val="12"/>
        <color theme="1"/>
        <rFont val="Arial"/>
        <family val="2"/>
      </rPr>
      <t>or</t>
    </r>
    <r>
      <rPr>
        <i/>
        <sz val="12"/>
        <color theme="1"/>
        <rFont val="Arial"/>
        <family val="2"/>
      </rPr>
      <t xml:space="preserve"> "Approved"</t>
    </r>
    <r>
      <rPr>
        <sz val="12"/>
        <color theme="1"/>
        <rFont val="Arial"/>
        <family val="2"/>
      </rPr>
      <t xml:space="preserve"> total).</t>
    </r>
  </si>
  <si>
    <r>
      <t>4. The quarterly numbers do not add up to the "</t>
    </r>
    <r>
      <rPr>
        <i/>
        <sz val="12"/>
        <color theme="1"/>
        <rFont val="Arial"/>
        <family val="2"/>
      </rPr>
      <t>Proposed"</t>
    </r>
    <r>
      <rPr>
        <sz val="12"/>
        <color theme="1"/>
        <rFont val="Arial"/>
        <family val="2"/>
      </rPr>
      <t xml:space="preserve"> or</t>
    </r>
    <r>
      <rPr>
        <i/>
        <sz val="12"/>
        <color theme="1"/>
        <rFont val="Arial"/>
        <family val="2"/>
      </rPr>
      <t xml:space="preserve"> "Approved"</t>
    </r>
    <r>
      <rPr>
        <sz val="12"/>
        <color theme="1"/>
        <rFont val="Arial"/>
        <family val="2"/>
      </rPr>
      <t xml:space="preserve"> Annual total that has been entered.</t>
    </r>
  </si>
  <si>
    <t>Solicitation RFA HHS0013447</t>
  </si>
  <si>
    <t>EXHIBIT P</t>
  </si>
  <si>
    <t>YP PERFORMANCE MEASURES ESTIMATION TOOL</t>
  </si>
  <si>
    <t>Organization Name:</t>
  </si>
  <si>
    <t>Region:</t>
  </si>
  <si>
    <t xml:space="preserve">County(ies): </t>
  </si>
  <si>
    <t>Total Estimated Funding</t>
  </si>
  <si>
    <t xml:space="preserve">Minimum People Served </t>
  </si>
  <si>
    <t>Total Formula-Projected People Served</t>
  </si>
  <si>
    <t>Total Proposed People Served</t>
  </si>
  <si>
    <t>Total Approved People Served</t>
  </si>
  <si>
    <t>YOUTH PREVENTION UNIVERSAL (YPU) PREVENTION EDUCATION PERFORMANCE MEASURE TARGETS</t>
  </si>
  <si>
    <t>YPU Curriculum 1</t>
  </si>
  <si>
    <t>FTE Assigned</t>
  </si>
  <si>
    <t>Performance Measure</t>
  </si>
  <si>
    <t>Formula-Projected Performance Measures*</t>
  </si>
  <si>
    <t>Proposed Performance Measures</t>
  </si>
  <si>
    <t>Justification</t>
  </si>
  <si>
    <t>Approved Performance Measures</t>
  </si>
  <si>
    <t>Sept-Nov</t>
  </si>
  <si>
    <t>Dec-Feb</t>
  </si>
  <si>
    <t>Mar-May</t>
  </si>
  <si>
    <t>Jun-Aug</t>
  </si>
  <si>
    <t xml:space="preserve">Annual </t>
  </si>
  <si>
    <t>Provide justification if proposed measures are more/less than 10% higher or lower than the projected measure</t>
  </si>
  <si>
    <r>
      <t xml:space="preserve">Number of </t>
    </r>
    <r>
      <rPr>
        <b/>
        <sz val="12"/>
        <color theme="1"/>
        <rFont val="Arial"/>
        <family val="2"/>
      </rPr>
      <t>unduplicated adults</t>
    </r>
    <r>
      <rPr>
        <sz val="12"/>
        <color theme="1"/>
        <rFont val="Arial"/>
        <family val="2"/>
      </rPr>
      <t xml:space="preserve"> receiving prevention education/skills training per year (approved evidence-based family-focused curriculum only)</t>
    </r>
  </si>
  <si>
    <r>
      <rPr>
        <sz val="12"/>
        <color rgb="FF000000"/>
        <rFont val="Arial"/>
        <family val="2"/>
      </rPr>
      <t xml:space="preserve">Number of </t>
    </r>
    <r>
      <rPr>
        <b/>
        <sz val="12"/>
        <color rgb="FF000000"/>
        <rFont val="Arial"/>
        <family val="2"/>
      </rPr>
      <t>unduplicated youth</t>
    </r>
    <r>
      <rPr>
        <sz val="12"/>
        <color rgb="FF000000"/>
        <rFont val="Arial"/>
        <family val="2"/>
      </rPr>
      <t xml:space="preserve"> receiving prevention education/skills training per year (approved evidence-based curriculum)</t>
    </r>
  </si>
  <si>
    <t>YPU Curriculum 2</t>
  </si>
  <si>
    <r>
      <rPr>
        <sz val="12"/>
        <color rgb="FF000000"/>
        <rFont val="Arial"/>
        <family val="2"/>
      </rPr>
      <t xml:space="preserve">Number of </t>
    </r>
    <r>
      <rPr>
        <b/>
        <sz val="12"/>
        <color rgb="FF000000"/>
        <rFont val="Arial"/>
        <family val="2"/>
      </rPr>
      <t>unduplicated adults</t>
    </r>
    <r>
      <rPr>
        <sz val="12"/>
        <color rgb="FF000000"/>
        <rFont val="Arial"/>
        <family val="2"/>
      </rPr>
      <t xml:space="preserve"> receiving prevention education/skills training per year (approved evidence-based family-focused curriculum only)</t>
    </r>
  </si>
  <si>
    <r>
      <t xml:space="preserve">Number of </t>
    </r>
    <r>
      <rPr>
        <b/>
        <sz val="12"/>
        <color theme="1"/>
        <rFont val="Arial"/>
        <family val="2"/>
      </rPr>
      <t>unduplicated youth</t>
    </r>
    <r>
      <rPr>
        <sz val="12"/>
        <color theme="1"/>
        <rFont val="Arial"/>
        <family val="2"/>
      </rPr>
      <t xml:space="preserve"> receiving prevention education/skills training per year (approved evidence-based curriculum)</t>
    </r>
  </si>
  <si>
    <t>YPU Curriculum 3</t>
  </si>
  <si>
    <t>TOTAL FOR ALL YOUTH PREVENTION UNIVERSAL</t>
  </si>
  <si>
    <t>Total YPU FTE:</t>
  </si>
  <si>
    <t>Total Adults Served in Prevention Education YPU:</t>
  </si>
  <si>
    <t>Total Youth Served in Prevention Education YPU:</t>
  </si>
  <si>
    <t>YPS PREVENTION EDUCATION PERFORMANCE MEASURE TARGETS</t>
  </si>
  <si>
    <t>YPS Curriculum 1</t>
  </si>
  <si>
    <t>YPS Curriculum 2</t>
  </si>
  <si>
    <t>YPS Curriculum 3</t>
  </si>
  <si>
    <t>`</t>
  </si>
  <si>
    <t>TOTAL FOR ALL YOUTH PREVENTION SELECTED</t>
  </si>
  <si>
    <t>Total YPS Staff:</t>
  </si>
  <si>
    <t>Total Adults Served in Prevention Education YPS:</t>
  </si>
  <si>
    <t>Total Youth Served in Prevention Education YPS:</t>
  </si>
  <si>
    <t>YPI PREVENTION EDUCATION PERFORMANCE MEASURE TARGETS</t>
  </si>
  <si>
    <t>YPI Curriculum 1</t>
  </si>
  <si>
    <t>YPI Curriculum 2</t>
  </si>
  <si>
    <t>YPI Curriculum 3</t>
  </si>
  <si>
    <t>TOTAL FOR ALL YOUTH PREVENTION INDICATED</t>
  </si>
  <si>
    <t>Total YPI Staff:</t>
  </si>
  <si>
    <t>Provide a justification if proposed measures are more than 5% higher or lower than the projected measure</t>
  </si>
  <si>
    <t>Total Adults Served in Prevention Education YPI:</t>
  </si>
  <si>
    <t>Total Youth Served in Prevention Education YPI:</t>
  </si>
  <si>
    <t>ALL YP PROGRAM OTHER MEASURES</t>
  </si>
  <si>
    <t>Total FTE for all YP Programs</t>
  </si>
  <si>
    <t>Number of Alternatives conducted per month (COMBINED)</t>
  </si>
  <si>
    <t>Number of Alternatives conducted per month (YPU)</t>
  </si>
  <si>
    <t>Number of Alternatives conducted per month (YPS)</t>
  </si>
  <si>
    <t>Number of Alternatives conducted per month (YPI)</t>
  </si>
  <si>
    <t>Number of youth in Alternatives conducted per month (COMBINED)</t>
  </si>
  <si>
    <t>Number of youth in Alternatives conducted per month (YPU)</t>
  </si>
  <si>
    <t>Number of youth in Alternatives conducted per month (YPS)</t>
  </si>
  <si>
    <t>Number of youth in Alternatives conducted per month (YPI)</t>
  </si>
  <si>
    <t>Number of adults in Alternatives (COMBINED)</t>
  </si>
  <si>
    <t>Number of adults in Alternatives (YPU)</t>
  </si>
  <si>
    <t>Number of adults in Alternatives (YPS)</t>
  </si>
  <si>
    <t>Number of adults in Alternatives (YPI)</t>
  </si>
  <si>
    <t>Number of prevention/behavioral health promotion presentations (COMBINED)</t>
  </si>
  <si>
    <t>Number of prevention/behavioral health promotion presentations (YPU)</t>
  </si>
  <si>
    <t>Number of prevention/behavioral health promotion presentations (YPS)</t>
  </si>
  <si>
    <t>Number of prevention/behavioral health promotion presentations (YPI)</t>
  </si>
  <si>
    <t>Number of youth attending prevention/behavioral health promotion  presentations (COMBINED)</t>
  </si>
  <si>
    <t>Number of youth attending prevention/behavioral health promotion  presentations (YPU)</t>
  </si>
  <si>
    <t>Number of youth attending prevention/behavioral health promotion presentations (YPS)</t>
  </si>
  <si>
    <t>Number of youth attending prevention/behavioral health promotion presentations (YPI)</t>
  </si>
  <si>
    <t>Number of adults attending prevention/behavioral health promotion presentations (COMBINED)</t>
  </si>
  <si>
    <t>Number of adults attending prevention/behavioral health promotion presentations (YPU)</t>
  </si>
  <si>
    <t>Number of adults attending prevention/behavioral health promotion presentations (YPS)</t>
  </si>
  <si>
    <t>Number of adults attending prevention/behavioral health promotion presentations (YPI)</t>
  </si>
  <si>
    <t>Number of social media messages focused on prevention and behavioral health promotion (COMBINED)</t>
  </si>
  <si>
    <t>Number of social media messages focused on prevention and behavioral health promotion (YPU)</t>
  </si>
  <si>
    <t>Number of social media messages focused on prevention and behavioral health promotion (YPS)</t>
  </si>
  <si>
    <t>Number of social media messages focused on prevention and behavioral health promotion (YPI)</t>
  </si>
  <si>
    <t>Number of voluntary compliance checks successfully conducted on-site with tobacco retailers (COMBINED)</t>
  </si>
  <si>
    <t>Number of voluntary compliance checks successfully conducted on-site with tobacco retailers (YPU)</t>
  </si>
  <si>
    <t>Number of voluntary compliance checks successfully conducted on-site with tobacco retailers (YPS)</t>
  </si>
  <si>
    <t>Number of voluntary compliance checks successfully conducted on-site with tobacco retailers (YPI)</t>
  </si>
  <si>
    <t xml:space="preserve">*Note: Due to rounding, the sum of quarterly targets in the formula projections may be slightly higher or lower than the annual goal. HHSC will adjust the quarterly targets to align with annual goal in the final contract targets. </t>
  </si>
  <si>
    <t>Prev Education</t>
  </si>
  <si>
    <t>Alternatives</t>
  </si>
  <si>
    <t>Info Dissemination</t>
  </si>
  <si>
    <t>Problem ID</t>
  </si>
  <si>
    <t>Tobacco Compliance (Environmental)</t>
  </si>
  <si>
    <t>TOTAL</t>
  </si>
  <si>
    <r>
      <t xml:space="preserve">These percentages represent the total percentage of effort that your agency will allocate to each of these strategies. This does not have to represent the time allocation of a single FTE, but rather the total time across the agency for all FTEs. These percentages can be altered, and this will reflect in the "Formula-Projected" performance measures on the "Estimated Performance Measures" sheet. </t>
    </r>
    <r>
      <rPr>
        <b/>
        <sz val="12"/>
        <color theme="1"/>
        <rFont val="Arial"/>
        <family val="2"/>
      </rPr>
      <t>Note: the TOTAL column must add up to 100%.</t>
    </r>
    <r>
      <rPr>
        <sz val="12"/>
        <color theme="1"/>
        <rFont val="Arial"/>
        <family val="2"/>
      </rPr>
      <t xml:space="preserve"> If you choose to increase your Alternatives, you will need to ensure they are structured. If increaseing Alternatives - activities will need to be structured and approved via implementation plans. </t>
    </r>
  </si>
  <si>
    <t xml:space="preserve">Ranges below are presented as a range for the measures expected per 1 FTE.  Anything in range between high and low is acceptable. </t>
  </si>
  <si>
    <t>Please note, Strengthening Families Program and Guiding Good Choices require 2 FTE for implementation; therefore, annual numbers will be double what is shown below. Additionally, Guiding Good Choices carries the expectation of conducting concurrent Alternatives with the parent/caregiver's youth.</t>
  </si>
  <si>
    <t>YPU</t>
  </si>
  <si>
    <t>YPS</t>
  </si>
  <si>
    <t>YPI</t>
  </si>
  <si>
    <t>Measure Type</t>
  </si>
  <si>
    <t>Curriculum</t>
  </si>
  <si>
    <t>Q1</t>
  </si>
  <si>
    <t>Q2</t>
  </si>
  <si>
    <t>Q3</t>
  </si>
  <si>
    <t>Q4</t>
  </si>
  <si>
    <t>Annual</t>
  </si>
  <si>
    <t>Adults High</t>
  </si>
  <si>
    <t>Guiding Good Choices</t>
  </si>
  <si>
    <t>Youth High</t>
  </si>
  <si>
    <t>Blues Program</t>
  </si>
  <si>
    <t>Adults Baseline</t>
  </si>
  <si>
    <t>Youth Baseline</t>
  </si>
  <si>
    <t>Adults Low</t>
  </si>
  <si>
    <t>Youth Low</t>
  </si>
  <si>
    <t>Learning to BREATHE</t>
  </si>
  <si>
    <t>Curriculum-Based Support Group</t>
  </si>
  <si>
    <t>LifeSkills Training</t>
  </si>
  <si>
    <t>SFP 10 Video</t>
  </si>
  <si>
    <t>Positive Action</t>
  </si>
  <si>
    <t>SFP 14 Session</t>
  </si>
  <si>
    <t xml:space="preserve">YPU Curricula </t>
  </si>
  <si>
    <t>YPS Curricula</t>
  </si>
  <si>
    <t>YPI Curricula</t>
  </si>
  <si>
    <t>N/A</t>
  </si>
  <si>
    <r>
      <t xml:space="preserve">Ranges below are presented as a range for the measures expected per 1 FTE.  Anything in range between high and low is acceptable.  All baseline all adult measures are </t>
    </r>
    <r>
      <rPr>
        <b/>
        <u/>
        <sz val="12"/>
        <color theme="1"/>
        <rFont val="Verdana"/>
        <family val="2"/>
      </rPr>
      <t>underlined.</t>
    </r>
  </si>
  <si>
    <t>Life Skills Training</t>
  </si>
  <si>
    <t>Too Good for Drugs</t>
  </si>
  <si>
    <t>All Stars</t>
  </si>
  <si>
    <t>Project Toward No Drug Abuse</t>
  </si>
  <si>
    <t>Adult High</t>
  </si>
  <si>
    <t>Adult Baseline</t>
  </si>
  <si>
    <t>Adult Low</t>
  </si>
  <si>
    <t>SFP 7 Video</t>
  </si>
  <si>
    <t>All Curricula Measures Assume 70% of 40 hours/week or 28 hours per week per FTE dedicated to prevention education at the noted ratios of service delivery and related tasks. 33 weeks of service delivery are assumed.</t>
  </si>
  <si>
    <t>Prog Type</t>
  </si>
  <si>
    <t>Average Time/Session in Minutes</t>
  </si>
  <si>
    <t>Average Sessions/Cycle</t>
  </si>
  <si>
    <t>Average Sess/Week</t>
  </si>
  <si>
    <t>Average Cycle Completion in Weeks</t>
  </si>
  <si>
    <t>Ratio Other : Implementation</t>
  </si>
  <si>
    <t>Average Concurrent Cycles</t>
  </si>
  <si>
    <t>Cycles /Year /FTE (33/F(rounded to whole #)xH(rounded to whole #)</t>
  </si>
  <si>
    <t>Average Youth/Cycle</t>
  </si>
  <si>
    <t>Average Adult/Cycle</t>
  </si>
  <si>
    <t>Youth /Year /FTE</t>
  </si>
  <si>
    <t>Adults /Year /FTE2</t>
  </si>
  <si>
    <t>Curriculum Data Pulled from App B, RFA FY20</t>
  </si>
  <si>
    <t>2:1</t>
  </si>
  <si>
    <t>20.8 (whole classroom averaged between Em and MS (NCES data for Texas)</t>
  </si>
  <si>
    <t>3:1</t>
  </si>
  <si>
    <t>Strengthening Families Program - 7 Video</t>
  </si>
  <si>
    <t>4:1</t>
  </si>
  <si>
    <t>Strengthening Families Program - 10 Video</t>
  </si>
  <si>
    <t>Strengthening Families Program - 14 Session</t>
  </si>
  <si>
    <t>YPI PA and PTND set to 12 to accommodate smaller groups standard in YPI</t>
  </si>
  <si>
    <t>All curricula measures assume 40 hours/week spent on education adjusted by the percentage of effort on the "FY23 YP Measure Ranges" sheet. 42 weeks of service delivery are assumed for family-focused programs since they are not constrained by the school year. 30 weeks are assumed for non-family focused programs due to school year constraints.</t>
  </si>
  <si>
    <t>Average Time/Session in Hours</t>
  </si>
  <si>
    <t>Average Number of Total Cycles per Year (Round up)</t>
  </si>
  <si>
    <t>Annual Youth/FTE</t>
  </si>
  <si>
    <t>Annual Adults/FTE</t>
  </si>
  <si>
    <t>Public Health Region</t>
  </si>
  <si>
    <t>County Name</t>
  </si>
  <si>
    <t>County Land Mass (mi^2)</t>
  </si>
  <si>
    <t>Number of Retailers in County</t>
  </si>
  <si>
    <t>Retail Density of County</t>
  </si>
  <si>
    <t>Column4</t>
  </si>
  <si>
    <t>Density * 48/weeks</t>
  </si>
  <si>
    <t>Density*48 Tier #</t>
  </si>
  <si>
    <t>Est. Checks for County</t>
  </si>
  <si>
    <t xml:space="preserve">Tier </t>
  </si>
  <si>
    <t>Retailer Density Range</t>
  </si>
  <si>
    <t>Counties within Range</t>
  </si>
  <si>
    <t>Checks per yr</t>
  </si>
  <si>
    <t>Harris</t>
  </si>
  <si>
    <t>0-0.5</t>
  </si>
  <si>
    <t>Dallas</t>
  </si>
  <si>
    <t>0.5-2.5</t>
  </si>
  <si>
    <t>Tarrant</t>
  </si>
  <si>
    <t>2.5 to 40</t>
  </si>
  <si>
    <t>Bexar</t>
  </si>
  <si>
    <t>40+</t>
  </si>
  <si>
    <t>Galveston</t>
  </si>
  <si>
    <t>Travis</t>
  </si>
  <si>
    <t>Collin</t>
  </si>
  <si>
    <t>Region</t>
  </si>
  <si>
    <t>Average checks per county per FTE</t>
  </si>
  <si>
    <t xml:space="preserve">Approx FTEs </t>
  </si>
  <si>
    <t>YP Regional Check Est.</t>
  </si>
  <si>
    <t>PRC Estimates</t>
  </si>
  <si>
    <t>Adam's Estimates</t>
  </si>
  <si>
    <t>YP + PRC</t>
  </si>
  <si>
    <t>Retailers</t>
  </si>
  <si>
    <t>% of Retailers</t>
  </si>
  <si>
    <t>Gregg</t>
  </si>
  <si>
    <t>Fort Bend</t>
  </si>
  <si>
    <t>El Paso</t>
  </si>
  <si>
    <t>Denton</t>
  </si>
  <si>
    <t>Montgomery</t>
  </si>
  <si>
    <t>Hidalgo</t>
  </si>
  <si>
    <t>Rockwall</t>
  </si>
  <si>
    <t>Jefferson</t>
  </si>
  <si>
    <t>Nueces</t>
  </si>
  <si>
    <t>Orange</t>
  </si>
  <si>
    <t>Cameron</t>
  </si>
  <si>
    <t>Williamson</t>
  </si>
  <si>
    <t>Brazos</t>
  </si>
  <si>
    <t>Lubbock</t>
  </si>
  <si>
    <t>Bell</t>
  </si>
  <si>
    <t>McLennan</t>
  </si>
  <si>
    <t>Smith</t>
  </si>
  <si>
    <t>Hays</t>
  </si>
  <si>
    <t>Comal</t>
  </si>
  <si>
    <t>Brazoria</t>
  </si>
  <si>
    <t>Wichita</t>
  </si>
  <si>
    <t>Johnson</t>
  </si>
  <si>
    <t>Ector</t>
  </si>
  <si>
    <t>Midland</t>
  </si>
  <si>
    <t>Grayson</t>
  </si>
  <si>
    <t>Taylor</t>
  </si>
  <si>
    <t>Potter</t>
  </si>
  <si>
    <t>Hood</t>
  </si>
  <si>
    <t>Guadalupe</t>
  </si>
  <si>
    <t>Kaufman</t>
  </si>
  <si>
    <t>Ellis</t>
  </si>
  <si>
    <t>Henderson</t>
  </si>
  <si>
    <t>Parker</t>
  </si>
  <si>
    <t>Hunt</t>
  </si>
  <si>
    <t>Aransas</t>
  </si>
  <si>
    <t>Waller</t>
  </si>
  <si>
    <t>Bowie</t>
  </si>
  <si>
    <t>San Patricio</t>
  </si>
  <si>
    <t>Angelina</t>
  </si>
  <si>
    <t>Victoria</t>
  </si>
  <si>
    <t>Chambers</t>
  </si>
  <si>
    <t>Bastrop</t>
  </si>
  <si>
    <t>Liberty</t>
  </si>
  <si>
    <t>Randall</t>
  </si>
  <si>
    <t>Titus</t>
  </si>
  <si>
    <t>Camp</t>
  </si>
  <si>
    <t>Nacogdoches</t>
  </si>
  <si>
    <t>Walker</t>
  </si>
  <si>
    <t>Wood</t>
  </si>
  <si>
    <t>Harrison</t>
  </si>
  <si>
    <t>Hardin</t>
  </si>
  <si>
    <t>Somervell</t>
  </si>
  <si>
    <t>Caldwell</t>
  </si>
  <si>
    <t>Washington</t>
  </si>
  <si>
    <t>Starr</t>
  </si>
  <si>
    <t>Rains</t>
  </si>
  <si>
    <t>Morris</t>
  </si>
  <si>
    <t>Wise</t>
  </si>
  <si>
    <t>Tom Green</t>
  </si>
  <si>
    <t>Upshur</t>
  </si>
  <si>
    <t>Van Zandt</t>
  </si>
  <si>
    <t>Navarro</t>
  </si>
  <si>
    <t>Cooke</t>
  </si>
  <si>
    <t>Austin</t>
  </si>
  <si>
    <t>Lamar</t>
  </si>
  <si>
    <t>Calhoun</t>
  </si>
  <si>
    <t>Jim Wells</t>
  </si>
  <si>
    <t>Anderson</t>
  </si>
  <si>
    <t>Matagorda</t>
  </si>
  <si>
    <t>Hill</t>
  </si>
  <si>
    <t>Cherokee</t>
  </si>
  <si>
    <t>Palo Pinto</t>
  </si>
  <si>
    <t>Brown</t>
  </si>
  <si>
    <t>Polk</t>
  </si>
  <si>
    <t>Wharton</t>
  </si>
  <si>
    <t>Burnet</t>
  </si>
  <si>
    <t>Rusk</t>
  </si>
  <si>
    <t>Jasper</t>
  </si>
  <si>
    <t>Hopkins</t>
  </si>
  <si>
    <t>Grimes</t>
  </si>
  <si>
    <t>San Jacinto</t>
  </si>
  <si>
    <t>Howard</t>
  </si>
  <si>
    <t>Kendall</t>
  </si>
  <si>
    <t>Webb</t>
  </si>
  <si>
    <t>Kerr</t>
  </si>
  <si>
    <t>Burleson</t>
  </si>
  <si>
    <t>Coryell</t>
  </si>
  <si>
    <t>Shelby</t>
  </si>
  <si>
    <t>Atascosa</t>
  </si>
  <si>
    <t>Marion</t>
  </si>
  <si>
    <t>Wilson</t>
  </si>
  <si>
    <t>Fayette</t>
  </si>
  <si>
    <t>Madison</t>
  </si>
  <si>
    <t>Sabine</t>
  </si>
  <si>
    <t>Lee</t>
  </si>
  <si>
    <t>Eastland</t>
  </si>
  <si>
    <t>Kleberg</t>
  </si>
  <si>
    <t>Cass</t>
  </si>
  <si>
    <t>Erath</t>
  </si>
  <si>
    <t>Colorado</t>
  </si>
  <si>
    <t>Moore</t>
  </si>
  <si>
    <t>Limestone</t>
  </si>
  <si>
    <t>Gillespie</t>
  </si>
  <si>
    <t>Willacy</t>
  </si>
  <si>
    <t>Medina</t>
  </si>
  <si>
    <t>Fannin</t>
  </si>
  <si>
    <t>Llano</t>
  </si>
  <si>
    <t>Bosque</t>
  </si>
  <si>
    <t>Robertson</t>
  </si>
  <si>
    <t>Panola</t>
  </si>
  <si>
    <t>Trinity</t>
  </si>
  <si>
    <t>Maverick</t>
  </si>
  <si>
    <t>Bandera</t>
  </si>
  <si>
    <t>Leon</t>
  </si>
  <si>
    <t>Hale</t>
  </si>
  <si>
    <t>Franklin</t>
  </si>
  <si>
    <t>Lampasas</t>
  </si>
  <si>
    <t>Bee</t>
  </si>
  <si>
    <t>Karnes</t>
  </si>
  <si>
    <t>Milam</t>
  </si>
  <si>
    <t>Hutchinson</t>
  </si>
  <si>
    <t>Uvalde</t>
  </si>
  <si>
    <t>Nolan</t>
  </si>
  <si>
    <t>Gray</t>
  </si>
  <si>
    <t>Freestone</t>
  </si>
  <si>
    <t>Lavaca</t>
  </si>
  <si>
    <t>Delta</t>
  </si>
  <si>
    <t>Tyler</t>
  </si>
  <si>
    <t>Montague</t>
  </si>
  <si>
    <t>Falls</t>
  </si>
  <si>
    <t>San Augustine</t>
  </si>
  <si>
    <t>Hockley</t>
  </si>
  <si>
    <t>DeWitt</t>
  </si>
  <si>
    <t>Scurry</t>
  </si>
  <si>
    <t>Jackson</t>
  </si>
  <si>
    <t>Ward</t>
  </si>
  <si>
    <t>Blanco</t>
  </si>
  <si>
    <t>Houston</t>
  </si>
  <si>
    <t>Young</t>
  </si>
  <si>
    <t>Callahan</t>
  </si>
  <si>
    <t>Gonzales</t>
  </si>
  <si>
    <t>Zapata</t>
  </si>
  <si>
    <t>Newton</t>
  </si>
  <si>
    <t>Frio</t>
  </si>
  <si>
    <t>Jones</t>
  </si>
  <si>
    <t>Stephens</t>
  </si>
  <si>
    <t>Hamilton</t>
  </si>
  <si>
    <t>Refugio</t>
  </si>
  <si>
    <t>Comanche</t>
  </si>
  <si>
    <t>Live Oak</t>
  </si>
  <si>
    <t>Winkler</t>
  </si>
  <si>
    <t>Runnels</t>
  </si>
  <si>
    <t>Red River</t>
  </si>
  <si>
    <t>Real</t>
  </si>
  <si>
    <t>Lamb</t>
  </si>
  <si>
    <t>Terry</t>
  </si>
  <si>
    <t>Haskell</t>
  </si>
  <si>
    <t>Gaines</t>
  </si>
  <si>
    <t>Wilbarger</t>
  </si>
  <si>
    <t>Dawson</t>
  </si>
  <si>
    <t>Dimmit</t>
  </si>
  <si>
    <t>Childress</t>
  </si>
  <si>
    <t>Parmer</t>
  </si>
  <si>
    <t>Brooks</t>
  </si>
  <si>
    <t>Bailey</t>
  </si>
  <si>
    <t>Kimble</t>
  </si>
  <si>
    <t>Jack</t>
  </si>
  <si>
    <t>Wheeler</t>
  </si>
  <si>
    <t>Ochiltree</t>
  </si>
  <si>
    <t>Yoakum</t>
  </si>
  <si>
    <t>Coleman</t>
  </si>
  <si>
    <t>Clay</t>
  </si>
  <si>
    <t>Archer</t>
  </si>
  <si>
    <t>Deaf Smith</t>
  </si>
  <si>
    <t>Mitchell</t>
  </si>
  <si>
    <t>Reeves</t>
  </si>
  <si>
    <t>Andrews</t>
  </si>
  <si>
    <t>Zavala</t>
  </si>
  <si>
    <t>Mills</t>
  </si>
  <si>
    <t>Crosby</t>
  </si>
  <si>
    <t>San Saba</t>
  </si>
  <si>
    <t>McCulloch</t>
  </si>
  <si>
    <t>Carson</t>
  </si>
  <si>
    <t>Val Verde</t>
  </si>
  <si>
    <t>Hardeman</t>
  </si>
  <si>
    <t>Knox</t>
  </si>
  <si>
    <t>Castro</t>
  </si>
  <si>
    <t>Crane</t>
  </si>
  <si>
    <t>Hall</t>
  </si>
  <si>
    <t>Garza</t>
  </si>
  <si>
    <t>Concho</t>
  </si>
  <si>
    <t>Duval</t>
  </si>
  <si>
    <t>Jim Hogg</t>
  </si>
  <si>
    <t>Sutton</t>
  </si>
  <si>
    <t>Swisher</t>
  </si>
  <si>
    <t>Fisher</t>
  </si>
  <si>
    <t>Martin</t>
  </si>
  <si>
    <t>Donley</t>
  </si>
  <si>
    <t>Goliad</t>
  </si>
  <si>
    <t>Baylor</t>
  </si>
  <si>
    <t>Floyd</t>
  </si>
  <si>
    <t>Lynn</t>
  </si>
  <si>
    <t>Upton</t>
  </si>
  <si>
    <t>Mason</t>
  </si>
  <si>
    <t>Menard</t>
  </si>
  <si>
    <t>Cochran</t>
  </si>
  <si>
    <t>Hemphill</t>
  </si>
  <si>
    <t>Coke</t>
  </si>
  <si>
    <t>Shackelford</t>
  </si>
  <si>
    <t>Pecos</t>
  </si>
  <si>
    <t>Dallam</t>
  </si>
  <si>
    <t>Reagan</t>
  </si>
  <si>
    <t>Hansford</t>
  </si>
  <si>
    <t>Sherman</t>
  </si>
  <si>
    <t>Lipscomb</t>
  </si>
  <si>
    <t>Motley</t>
  </si>
  <si>
    <t>Irion</t>
  </si>
  <si>
    <t>Dickens</t>
  </si>
  <si>
    <t>Collingsworth</t>
  </si>
  <si>
    <t>Sterling</t>
  </si>
  <si>
    <t>McMullen</t>
  </si>
  <si>
    <t>Brewster</t>
  </si>
  <si>
    <t>Oldham</t>
  </si>
  <si>
    <t>Loving</t>
  </si>
  <si>
    <t>Cottle</t>
  </si>
  <si>
    <t>Presidio</t>
  </si>
  <si>
    <t>Armstrong</t>
  </si>
  <si>
    <t>Stonewall</t>
  </si>
  <si>
    <t>Foard</t>
  </si>
  <si>
    <t>Schleicher</t>
  </si>
  <si>
    <t>Kinney</t>
  </si>
  <si>
    <t>Crockett</t>
  </si>
  <si>
    <t>Hartley</t>
  </si>
  <si>
    <t>Culberson</t>
  </si>
  <si>
    <t>Briscoe</t>
  </si>
  <si>
    <t>Glasscock</t>
  </si>
  <si>
    <t>Throckmorton</t>
  </si>
  <si>
    <t>Edwards</t>
  </si>
  <si>
    <t>Jeff Davis</t>
  </si>
  <si>
    <t>Hudspeth</t>
  </si>
  <si>
    <t>Borden</t>
  </si>
  <si>
    <t>Kent</t>
  </si>
  <si>
    <t>King</t>
  </si>
  <si>
    <t>Roberts</t>
  </si>
  <si>
    <t>Terrell</t>
  </si>
  <si>
    <t>Kenedy</t>
  </si>
  <si>
    <t>La Salle</t>
  </si>
  <si>
    <t xml:space="preserve">Strategy </t>
  </si>
  <si>
    <t>Average # per week</t>
  </si>
  <si>
    <t>Average number of weeks</t>
  </si>
  <si>
    <t>Youth In attendance</t>
  </si>
  <si>
    <t>Adults in attendance</t>
  </si>
  <si>
    <t>Total # of activities</t>
  </si>
  <si>
    <t xml:space="preserve"> Total Youth </t>
  </si>
  <si>
    <t>Column11</t>
  </si>
  <si>
    <t>Total Adults</t>
  </si>
  <si>
    <t>Column6</t>
  </si>
  <si>
    <t>Column7</t>
  </si>
  <si>
    <t>Column72</t>
  </si>
  <si>
    <t>Info Dis (y only)</t>
  </si>
  <si>
    <t>Info Dis (a only)</t>
  </si>
  <si>
    <t xml:space="preserve">Annuals Totals </t>
  </si>
  <si>
    <t>Alternatives (y only)</t>
  </si>
  <si>
    <t>Alternatives (a only)</t>
  </si>
  <si>
    <t>Alternatives (both)</t>
  </si>
  <si>
    <t xml:space="preserve">Annual Totals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</si>
</sst>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0.0"/>
  </numFmts>
  <fonts count="26" x14ac:knownFonts="1">
    <font>
      <sz val="12"/>
      <color theme="1"/>
      <name val="Verdana"/>
      <family val="2"/>
    </font>
    <font>
      <b/>
      <sz val="12"/>
      <color theme="1"/>
      <name val="Verdana"/>
      <family val="2"/>
    </font>
    <font>
      <u/>
      <sz val="12"/>
      <color theme="1"/>
      <name val="Verdana"/>
      <family val="2"/>
    </font>
    <font>
      <b/>
      <u/>
      <sz val="12"/>
      <color theme="1"/>
      <name val="Verdana"/>
      <family val="2"/>
    </font>
    <font>
      <sz val="12"/>
      <color theme="0"/>
      <name val="Arial"/>
      <family val="2"/>
    </font>
    <font>
      <sz val="12"/>
      <color theme="1"/>
      <name val="Arial"/>
      <family val="2"/>
    </font>
    <font>
      <b/>
      <sz val="12"/>
      <color theme="1"/>
      <name val="Arial"/>
      <family val="2"/>
    </font>
    <font>
      <b/>
      <sz val="12"/>
      <color theme="0"/>
      <name val="Arial"/>
      <family val="2"/>
    </font>
    <font>
      <b/>
      <sz val="12"/>
      <color rgb="FFFFFFFF"/>
      <name val="Arial"/>
      <family val="2"/>
    </font>
    <font>
      <b/>
      <sz val="12"/>
      <name val="Arial"/>
      <family val="2"/>
    </font>
    <font>
      <sz val="12"/>
      <color rgb="FF000000"/>
      <name val="Arial"/>
      <family val="2"/>
    </font>
    <font>
      <b/>
      <sz val="12"/>
      <color rgb="FF000000"/>
      <name val="Arial"/>
      <family val="2"/>
    </font>
    <font>
      <sz val="12"/>
      <color rgb="FF000000"/>
      <name val="Verdana"/>
      <family val="2"/>
    </font>
    <font>
      <sz val="12"/>
      <color theme="0"/>
      <name val="Verdana"/>
      <family val="2"/>
    </font>
    <font>
      <sz val="12"/>
      <color rgb="FFFF0000"/>
      <name val="Verdana"/>
      <family val="2"/>
    </font>
    <font>
      <sz val="12"/>
      <name val="Verdana"/>
      <family val="2"/>
    </font>
    <font>
      <sz val="12"/>
      <color theme="1"/>
      <name val="Verdana"/>
      <family val="2"/>
    </font>
    <font>
      <b/>
      <sz val="14"/>
      <color theme="0"/>
      <name val="Calibri"/>
      <family val="2"/>
      <scheme val="minor"/>
    </font>
    <font>
      <sz val="12"/>
      <name val="Arial"/>
      <family val="2"/>
    </font>
    <font>
      <i/>
      <sz val="12"/>
      <color theme="1"/>
      <name val="Arial"/>
      <family val="2"/>
    </font>
    <font>
      <sz val="12"/>
      <color rgb="FFFFFFFF"/>
      <name val="Arial"/>
      <family val="2"/>
    </font>
    <font>
      <b/>
      <u/>
      <sz val="12"/>
      <color theme="1"/>
      <name val="Arial"/>
      <family val="2"/>
    </font>
    <font>
      <u/>
      <sz val="12"/>
      <color theme="1"/>
      <name val="Arial"/>
      <family val="2"/>
    </font>
    <font>
      <b/>
      <sz val="12"/>
      <color rgb="FF000000"/>
      <name val="Verdana"/>
      <family val="2"/>
    </font>
    <font>
      <b/>
      <sz val="12"/>
      <color rgb="FF000000"/>
      <name val="Arial"/>
    </font>
    <font>
      <sz val="12"/>
      <color rgb="FF000000"/>
      <name val="Arial"/>
    </font>
  </fonts>
  <fills count="31">
    <fill>
      <patternFill patternType="none"/>
    </fill>
    <fill>
      <patternFill patternType="gray125"/>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7"/>
        <bgColor indexed="64"/>
      </patternFill>
    </fill>
    <fill>
      <patternFill patternType="solid">
        <fgColor theme="2" tint="-0.749992370372631"/>
        <bgColor indexed="64"/>
      </patternFill>
    </fill>
    <fill>
      <patternFill patternType="solid">
        <fgColor theme="4"/>
        <bgColor indexed="64"/>
      </patternFill>
    </fill>
    <fill>
      <patternFill patternType="solid">
        <fgColor rgb="FF548235"/>
        <bgColor rgb="FF000000"/>
      </patternFill>
    </fill>
    <fill>
      <patternFill patternType="solid">
        <fgColor theme="4" tint="0.59999389629810485"/>
        <bgColor indexed="64"/>
      </patternFill>
    </fill>
    <fill>
      <patternFill patternType="solid">
        <fgColor rgb="FFC6E0B4"/>
        <bgColor rgb="FF000000"/>
      </patternFill>
    </fill>
    <fill>
      <patternFill patternType="solid">
        <fgColor rgb="FFD0CECE"/>
        <bgColor rgb="FF000000"/>
      </patternFill>
    </fill>
    <fill>
      <patternFill patternType="solid">
        <fgColor theme="1" tint="0.149998474074526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1"/>
        <bgColor indexed="64"/>
      </patternFill>
    </fill>
    <fill>
      <patternFill patternType="solid">
        <fgColor rgb="FF44546A"/>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bgColor indexed="64"/>
      </patternFill>
    </fill>
    <fill>
      <patternFill patternType="solid">
        <fgColor theme="3" tint="-0.499984740745262"/>
        <bgColor indexed="64"/>
      </patternFill>
    </fill>
    <fill>
      <patternFill patternType="solid">
        <fgColor theme="0" tint="-0.499984740745262"/>
        <bgColor indexed="64"/>
      </patternFill>
    </fill>
  </fills>
  <borders count="49">
    <border>
      <left/>
      <right/>
      <top/>
      <bottom/>
      <diagonal/>
    </border>
    <border>
      <left/>
      <right/>
      <top style="thin">
        <color theme="4" tint="0.39997558519241921"/>
      </top>
      <bottom style="thin">
        <color theme="4" tint="0.39997558519241921"/>
      </bottom>
      <diagonal/>
    </border>
    <border>
      <left style="medium">
        <color theme="1"/>
      </left>
      <right/>
      <top style="medium">
        <color theme="1"/>
      </top>
      <bottom style="thin">
        <color theme="0"/>
      </bottom>
      <diagonal/>
    </border>
    <border>
      <left style="thin">
        <color indexed="64"/>
      </left>
      <right style="thin">
        <color indexed="64"/>
      </right>
      <top style="thin">
        <color indexed="64"/>
      </top>
      <bottom style="thin">
        <color indexed="64"/>
      </bottom>
      <diagonal/>
    </border>
    <border>
      <left style="medium">
        <color theme="1"/>
      </left>
      <right/>
      <top style="thin">
        <color theme="0"/>
      </top>
      <bottom style="thin">
        <color theme="0"/>
      </bottom>
      <diagonal/>
    </border>
    <border>
      <left style="thin">
        <color indexed="64"/>
      </left>
      <right style="thin">
        <color indexed="64"/>
      </right>
      <top style="thin">
        <color indexed="64"/>
      </top>
      <bottom/>
      <diagonal/>
    </border>
    <border>
      <left style="medium">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theme="1"/>
      </right>
      <top/>
      <bottom style="thin">
        <color indexed="64"/>
      </bottom>
      <diagonal/>
    </border>
    <border>
      <left style="medium">
        <color theme="1"/>
      </left>
      <right/>
      <top style="thin">
        <color indexed="64"/>
      </top>
      <bottom style="thin">
        <color indexed="64"/>
      </bottom>
      <diagonal/>
    </border>
    <border>
      <left/>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theme="1"/>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right/>
      <top style="thin">
        <color indexed="64"/>
      </top>
      <bottom/>
      <diagonal/>
    </border>
    <border>
      <left style="medium">
        <color theme="1"/>
      </left>
      <right/>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theme="4" tint="0.39997558519241921"/>
      </left>
      <right/>
      <top style="thin">
        <color theme="4" tint="0.39997558519241921"/>
      </top>
      <bottom style="thin">
        <color theme="4" tint="0.39997558519241921"/>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n">
        <color rgb="FF000000"/>
      </left>
      <right style="thin">
        <color rgb="FF000000"/>
      </right>
      <top/>
      <bottom style="thin">
        <color indexed="64"/>
      </bottom>
      <diagonal/>
    </border>
    <border>
      <left style="medium">
        <color theme="1"/>
      </left>
      <right/>
      <top style="thin">
        <color theme="0"/>
      </top>
      <bottom style="thin">
        <color indexed="64"/>
      </bottom>
      <diagonal/>
    </border>
    <border>
      <left/>
      <right style="thin">
        <color indexed="64"/>
      </right>
      <top style="thin">
        <color theme="0"/>
      </top>
      <bottom style="thin">
        <color indexed="64"/>
      </bottom>
      <diagonal/>
    </border>
    <border>
      <left/>
      <right style="thin">
        <color indexed="64"/>
      </right>
      <top style="thin">
        <color theme="0"/>
      </top>
      <bottom style="thin">
        <color theme="0"/>
      </bottom>
      <diagonal/>
    </border>
    <border>
      <left/>
      <right style="thin">
        <color indexed="64"/>
      </right>
      <top style="medium">
        <color theme="1"/>
      </top>
      <bottom style="thin">
        <color theme="0"/>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3">
    <xf numFmtId="0" fontId="0" fillId="0" borderId="0"/>
    <xf numFmtId="9" fontId="16" fillId="0" borderId="0" applyFont="0" applyFill="0" applyBorder="0" applyAlignment="0" applyProtection="0"/>
    <xf numFmtId="44" fontId="16" fillId="0" borderId="0" applyFont="0" applyFill="0" applyBorder="0" applyAlignment="0" applyProtection="0"/>
  </cellStyleXfs>
  <cellXfs count="288">
    <xf numFmtId="0" fontId="0" fillId="0" borderId="0" xfId="0"/>
    <xf numFmtId="0" fontId="0" fillId="0" borderId="0" xfId="0" applyAlignment="1">
      <alignment wrapText="1"/>
    </xf>
    <xf numFmtId="49" fontId="0" fillId="0" borderId="0" xfId="0" applyNumberFormat="1" applyAlignment="1">
      <alignment wrapText="1"/>
    </xf>
    <xf numFmtId="0" fontId="0" fillId="0" borderId="1" xfId="0" applyBorder="1" applyAlignment="1">
      <alignment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4" borderId="0" xfId="0" applyFill="1" applyAlignment="1">
      <alignment horizontal="center" vertical="center" wrapText="1"/>
    </xf>
    <xf numFmtId="0" fontId="0" fillId="6" borderId="0" xfId="0" applyFill="1" applyAlignment="1">
      <alignment horizontal="center" vertical="center" wrapText="1"/>
    </xf>
    <xf numFmtId="0" fontId="1" fillId="6" borderId="0" xfId="0" applyFont="1" applyFill="1" applyAlignment="1">
      <alignment horizontal="center" vertical="center" wrapText="1"/>
    </xf>
    <xf numFmtId="0" fontId="0" fillId="7" borderId="0" xfId="0" applyFill="1" applyAlignment="1">
      <alignment horizontal="center" vertical="center" wrapText="1"/>
    </xf>
    <xf numFmtId="0" fontId="2" fillId="0" borderId="0" xfId="0" applyFont="1" applyAlignment="1">
      <alignment horizontal="center" vertical="center" wrapText="1"/>
    </xf>
    <xf numFmtId="0" fontId="3" fillId="6" borderId="0" xfId="0" applyFont="1" applyFill="1" applyAlignment="1">
      <alignment horizontal="center" vertical="center" wrapText="1"/>
    </xf>
    <xf numFmtId="0" fontId="2" fillId="7" borderId="0" xfId="0" applyFont="1" applyFill="1" applyAlignment="1">
      <alignment horizontal="center" vertical="center" wrapText="1"/>
    </xf>
    <xf numFmtId="0" fontId="2" fillId="6" borderId="0" xfId="0" applyFont="1" applyFill="1" applyAlignment="1">
      <alignment horizontal="center" vertical="center" wrapText="1"/>
    </xf>
    <xf numFmtId="0" fontId="0" fillId="5" borderId="0" xfId="0" applyFill="1" applyAlignment="1">
      <alignment horizontal="center" vertical="center" wrapText="1"/>
    </xf>
    <xf numFmtId="0" fontId="0" fillId="3" borderId="0" xfId="0" applyFill="1" applyAlignment="1">
      <alignment horizontal="center" vertical="center" wrapText="1"/>
    </xf>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0" fillId="8" borderId="0" xfId="0" applyFill="1" applyAlignment="1">
      <alignment horizontal="center" vertical="center" wrapText="1"/>
    </xf>
    <xf numFmtId="0" fontId="1" fillId="8" borderId="0" xfId="0" applyFont="1" applyFill="1" applyAlignment="1">
      <alignment horizontal="center" vertical="center" wrapText="1"/>
    </xf>
    <xf numFmtId="0" fontId="2" fillId="8" borderId="0" xfId="0" applyFont="1" applyFill="1" applyAlignment="1">
      <alignment horizontal="center" vertical="center" wrapText="1"/>
    </xf>
    <xf numFmtId="0" fontId="3" fillId="8" borderId="0" xfId="0" applyFont="1" applyFill="1" applyAlignment="1">
      <alignment horizontal="center" vertical="center" wrapText="1"/>
    </xf>
    <xf numFmtId="0" fontId="1" fillId="0" borderId="0" xfId="0" applyFont="1" applyAlignment="1">
      <alignment horizontal="center" wrapText="1"/>
    </xf>
    <xf numFmtId="0" fontId="0" fillId="0" borderId="0" xfId="0" applyAlignment="1">
      <alignment horizontal="center"/>
    </xf>
    <xf numFmtId="0" fontId="0" fillId="0" borderId="0" xfId="0" applyAlignment="1">
      <alignment horizontal="center" wrapText="1"/>
    </xf>
    <xf numFmtId="0" fontId="14" fillId="0" borderId="0" xfId="0" applyFont="1" applyAlignment="1">
      <alignment wrapText="1"/>
    </xf>
    <xf numFmtId="0" fontId="15" fillId="0" borderId="0" xfId="0" applyFont="1" applyAlignment="1">
      <alignment wrapText="1"/>
    </xf>
    <xf numFmtId="0" fontId="0" fillId="26" borderId="0" xfId="0" applyFill="1" applyAlignment="1">
      <alignment horizontal="center" wrapText="1"/>
    </xf>
    <xf numFmtId="0" fontId="0" fillId="27" borderId="31" xfId="0" applyFill="1" applyBorder="1" applyAlignment="1">
      <alignment horizontal="center" wrapText="1"/>
    </xf>
    <xf numFmtId="0" fontId="1" fillId="26" borderId="0" xfId="0" applyFont="1" applyFill="1" applyAlignment="1">
      <alignment horizontal="center" wrapText="1"/>
    </xf>
    <xf numFmtId="0" fontId="1" fillId="26" borderId="0" xfId="0" applyFont="1" applyFill="1" applyAlignment="1">
      <alignment wrapText="1"/>
    </xf>
    <xf numFmtId="0" fontId="1" fillId="0" borderId="0" xfId="0" applyFont="1" applyAlignment="1">
      <alignment wrapText="1"/>
    </xf>
    <xf numFmtId="0" fontId="1" fillId="27" borderId="0" xfId="0" applyFont="1" applyFill="1" applyAlignment="1">
      <alignment horizontal="center" wrapText="1"/>
    </xf>
    <xf numFmtId="0" fontId="1" fillId="27" borderId="0" xfId="0" applyFont="1" applyFill="1" applyAlignment="1">
      <alignment wrapText="1"/>
    </xf>
    <xf numFmtId="0" fontId="7" fillId="9" borderId="3" xfId="0" applyFont="1" applyFill="1" applyBorder="1" applyAlignment="1">
      <alignment horizontal="center" vertical="center"/>
    </xf>
    <xf numFmtId="0" fontId="9" fillId="14" borderId="5" xfId="0" applyFont="1" applyFill="1" applyBorder="1" applyAlignment="1">
      <alignment horizontal="center" vertical="center"/>
    </xf>
    <xf numFmtId="0" fontId="9" fillId="15" borderId="5" xfId="0" applyFont="1" applyFill="1" applyBorder="1" applyAlignment="1">
      <alignment horizontal="center" vertical="center"/>
    </xf>
    <xf numFmtId="0" fontId="5" fillId="5" borderId="3" xfId="0" applyFont="1" applyFill="1" applyBorder="1" applyAlignment="1">
      <alignment vertical="center" wrapText="1"/>
    </xf>
    <xf numFmtId="0" fontId="5" fillId="5" borderId="3" xfId="0" applyFont="1" applyFill="1" applyBorder="1" applyAlignment="1">
      <alignment horizontal="center" vertical="center"/>
    </xf>
    <xf numFmtId="0" fontId="7" fillId="9" borderId="5" xfId="0" applyFont="1" applyFill="1" applyBorder="1" applyAlignment="1">
      <alignment horizontal="center" vertical="center"/>
    </xf>
    <xf numFmtId="0" fontId="9" fillId="19" borderId="5" xfId="0" applyFont="1" applyFill="1" applyBorder="1" applyAlignment="1">
      <alignment horizontal="center" vertical="center"/>
    </xf>
    <xf numFmtId="0" fontId="9" fillId="19" borderId="24" xfId="0" applyFont="1" applyFill="1" applyBorder="1" applyAlignment="1">
      <alignment horizontal="center" vertical="center"/>
    </xf>
    <xf numFmtId="0" fontId="5" fillId="5" borderId="29" xfId="0" applyFont="1" applyFill="1" applyBorder="1" applyAlignment="1">
      <alignment vertical="center" wrapText="1"/>
    </xf>
    <xf numFmtId="0" fontId="18" fillId="5" borderId="3" xfId="0" applyFont="1" applyFill="1" applyBorder="1" applyAlignment="1">
      <alignment horizontal="center" vertical="center"/>
    </xf>
    <xf numFmtId="0" fontId="5" fillId="20" borderId="29" xfId="0" applyFont="1" applyFill="1" applyBorder="1" applyAlignment="1">
      <alignment vertical="center" wrapText="1"/>
    </xf>
    <xf numFmtId="0" fontId="5" fillId="20" borderId="3" xfId="0" applyFont="1" applyFill="1" applyBorder="1" applyAlignment="1">
      <alignment horizontal="center" vertical="center"/>
    </xf>
    <xf numFmtId="0" fontId="5" fillId="21" borderId="29" xfId="0" applyFont="1" applyFill="1" applyBorder="1" applyAlignment="1">
      <alignment vertical="center" wrapText="1"/>
    </xf>
    <xf numFmtId="1" fontId="5" fillId="21" borderId="3" xfId="0" applyNumberFormat="1" applyFont="1" applyFill="1" applyBorder="1" applyAlignment="1">
      <alignment horizontal="center" vertical="center"/>
    </xf>
    <xf numFmtId="0" fontId="5" fillId="21" borderId="3" xfId="0" applyFont="1" applyFill="1" applyBorder="1" applyAlignment="1">
      <alignment horizontal="center" vertical="center"/>
    </xf>
    <xf numFmtId="0" fontId="5" fillId="22" borderId="29" xfId="0" applyFont="1" applyFill="1" applyBorder="1" applyAlignment="1">
      <alignment vertical="center" wrapText="1"/>
    </xf>
    <xf numFmtId="1" fontId="5" fillId="22" borderId="3" xfId="0" applyNumberFormat="1" applyFont="1" applyFill="1" applyBorder="1" applyAlignment="1">
      <alignment horizontal="center" vertical="center"/>
    </xf>
    <xf numFmtId="0" fontId="5" fillId="22" borderId="3" xfId="0" applyFont="1" applyFill="1" applyBorder="1" applyAlignment="1">
      <alignment horizontal="center" vertical="center"/>
    </xf>
    <xf numFmtId="1" fontId="5" fillId="5" borderId="3" xfId="0" applyNumberFormat="1" applyFont="1" applyFill="1" applyBorder="1" applyAlignment="1">
      <alignment horizontal="center" vertical="center"/>
    </xf>
    <xf numFmtId="0" fontId="5" fillId="20" borderId="5" xfId="0" applyFont="1" applyFill="1" applyBorder="1" applyAlignment="1">
      <alignment horizontal="center" vertical="center"/>
    </xf>
    <xf numFmtId="0" fontId="5" fillId="21" borderId="12" xfId="0" applyFont="1" applyFill="1" applyBorder="1" applyAlignment="1">
      <alignment vertical="center" wrapText="1"/>
    </xf>
    <xf numFmtId="0" fontId="5" fillId="21" borderId="28" xfId="0" applyFont="1" applyFill="1" applyBorder="1" applyAlignment="1">
      <alignment horizontal="center" vertical="center"/>
    </xf>
    <xf numFmtId="0" fontId="5" fillId="22" borderId="12" xfId="0" applyFont="1" applyFill="1" applyBorder="1" applyAlignment="1">
      <alignment vertical="center" wrapText="1"/>
    </xf>
    <xf numFmtId="0" fontId="5" fillId="22" borderId="28" xfId="0" applyFont="1" applyFill="1" applyBorder="1" applyAlignment="1">
      <alignment horizontal="center" vertical="center"/>
    </xf>
    <xf numFmtId="0" fontId="5" fillId="5" borderId="3" xfId="0" applyFont="1" applyFill="1" applyBorder="1" applyAlignment="1">
      <alignment horizontal="center" vertical="center" wrapText="1"/>
    </xf>
    <xf numFmtId="0" fontId="13" fillId="28" borderId="3" xfId="0" applyFont="1" applyFill="1" applyBorder="1" applyAlignment="1">
      <alignment wrapText="1"/>
    </xf>
    <xf numFmtId="0" fontId="13" fillId="28" borderId="3" xfId="0" applyFont="1" applyFill="1" applyBorder="1"/>
    <xf numFmtId="0" fontId="12" fillId="0" borderId="0" xfId="0" applyFont="1"/>
    <xf numFmtId="164" fontId="0" fillId="0" borderId="0" xfId="0" applyNumberFormat="1" applyAlignment="1">
      <alignment wrapText="1"/>
    </xf>
    <xf numFmtId="0" fontId="0" fillId="0" borderId="3" xfId="0" applyBorder="1" applyAlignment="1">
      <alignment horizontal="center"/>
    </xf>
    <xf numFmtId="0" fontId="0" fillId="0" borderId="3" xfId="0" applyBorder="1"/>
    <xf numFmtId="1" fontId="0" fillId="0" borderId="3" xfId="0" applyNumberFormat="1" applyBorder="1"/>
    <xf numFmtId="2" fontId="0" fillId="0" borderId="3" xfId="0" applyNumberFormat="1" applyBorder="1"/>
    <xf numFmtId="0" fontId="13" fillId="28" borderId="32" xfId="0" applyFont="1" applyFill="1" applyBorder="1"/>
    <xf numFmtId="0" fontId="13" fillId="28" borderId="0" xfId="0" applyFont="1" applyFill="1"/>
    <xf numFmtId="0" fontId="13" fillId="28" borderId="0" xfId="0" applyFont="1" applyFill="1" applyAlignment="1">
      <alignment wrapText="1"/>
    </xf>
    <xf numFmtId="165" fontId="0" fillId="0" borderId="3" xfId="0" applyNumberFormat="1" applyBorder="1"/>
    <xf numFmtId="1" fontId="0" fillId="0" borderId="14" xfId="0" applyNumberFormat="1" applyBorder="1"/>
    <xf numFmtId="9" fontId="0" fillId="0" borderId="3" xfId="1" applyFont="1" applyBorder="1" applyProtection="1"/>
    <xf numFmtId="0" fontId="0" fillId="26" borderId="3" xfId="0" applyFill="1" applyBorder="1"/>
    <xf numFmtId="9" fontId="0" fillId="26" borderId="3" xfId="1" applyFont="1" applyFill="1" applyBorder="1" applyProtection="1"/>
    <xf numFmtId="0" fontId="0" fillId="0" borderId="5" xfId="0" applyBorder="1"/>
    <xf numFmtId="165" fontId="0" fillId="0" borderId="5" xfId="0" applyNumberFormat="1" applyBorder="1"/>
    <xf numFmtId="1" fontId="0" fillId="0" borderId="24" xfId="0" applyNumberFormat="1" applyBorder="1"/>
    <xf numFmtId="1" fontId="0" fillId="0" borderId="5" xfId="0" applyNumberFormat="1" applyBorder="1"/>
    <xf numFmtId="9" fontId="0" fillId="0" borderId="5" xfId="1" applyFont="1" applyBorder="1" applyProtection="1"/>
    <xf numFmtId="0" fontId="0" fillId="25" borderId="3" xfId="0" applyFill="1" applyBorder="1"/>
    <xf numFmtId="0" fontId="0" fillId="0" borderId="14" xfId="0" applyBorder="1"/>
    <xf numFmtId="9" fontId="1" fillId="0" borderId="33" xfId="1" applyFont="1" applyBorder="1" applyProtection="1"/>
    <xf numFmtId="0" fontId="10" fillId="5" borderId="3" xfId="0" applyFont="1" applyFill="1" applyBorder="1" applyAlignment="1">
      <alignment vertical="center" wrapText="1"/>
    </xf>
    <xf numFmtId="0" fontId="10" fillId="5" borderId="29" xfId="0" applyFont="1" applyFill="1" applyBorder="1" applyAlignment="1">
      <alignment vertical="center" wrapText="1"/>
    </xf>
    <xf numFmtId="0" fontId="5" fillId="0" borderId="3" xfId="0" applyFont="1" applyBorder="1" applyAlignment="1" applyProtection="1">
      <alignment horizontal="center" vertical="center"/>
      <protection locked="0"/>
    </xf>
    <xf numFmtId="0" fontId="10" fillId="16" borderId="3" xfId="0" applyFont="1" applyFill="1" applyBorder="1" applyAlignment="1" applyProtection="1">
      <alignment horizontal="center" vertical="center"/>
      <protection locked="0"/>
    </xf>
    <xf numFmtId="0" fontId="5" fillId="20" borderId="3" xfId="0" applyFont="1" applyFill="1" applyBorder="1" applyAlignment="1" applyProtection="1">
      <alignment horizontal="center" vertical="center"/>
      <protection locked="0"/>
    </xf>
    <xf numFmtId="1" fontId="5" fillId="20" borderId="3" xfId="0" applyNumberFormat="1" applyFont="1" applyFill="1" applyBorder="1" applyAlignment="1" applyProtection="1">
      <alignment horizontal="center" vertical="center"/>
      <protection locked="0"/>
    </xf>
    <xf numFmtId="0" fontId="5" fillId="21" borderId="3" xfId="0" applyFont="1" applyFill="1" applyBorder="1" applyAlignment="1" applyProtection="1">
      <alignment horizontal="center" vertical="center"/>
      <protection locked="0"/>
    </xf>
    <xf numFmtId="0" fontId="5" fillId="22" borderId="3" xfId="0" applyFont="1" applyFill="1" applyBorder="1" applyAlignment="1" applyProtection="1">
      <alignment horizontal="center" vertical="center"/>
      <protection locked="0"/>
    </xf>
    <xf numFmtId="1" fontId="5" fillId="21" borderId="3" xfId="0" applyNumberFormat="1" applyFont="1" applyFill="1" applyBorder="1" applyAlignment="1" applyProtection="1">
      <alignment horizontal="center" vertical="center"/>
      <protection locked="0"/>
    </xf>
    <xf numFmtId="1" fontId="5" fillId="0" borderId="3" xfId="0" applyNumberFormat="1" applyFont="1" applyBorder="1" applyAlignment="1" applyProtection="1">
      <alignment horizontal="center" vertical="center"/>
      <protection locked="0"/>
    </xf>
    <xf numFmtId="0" fontId="5" fillId="20" borderId="5" xfId="0" applyFont="1" applyFill="1" applyBorder="1" applyAlignment="1" applyProtection="1">
      <alignment horizontal="center" vertical="center"/>
      <protection locked="0"/>
    </xf>
    <xf numFmtId="0" fontId="5" fillId="20" borderId="24" xfId="0" applyFont="1" applyFill="1" applyBorder="1" applyAlignment="1" applyProtection="1">
      <alignment horizontal="center" vertical="center"/>
      <protection locked="0"/>
    </xf>
    <xf numFmtId="0" fontId="5" fillId="20" borderId="29" xfId="0" applyFont="1" applyFill="1" applyBorder="1" applyAlignment="1" applyProtection="1">
      <alignment horizontal="center" vertical="center"/>
      <protection locked="0"/>
    </xf>
    <xf numFmtId="0" fontId="5" fillId="21" borderId="28" xfId="0" applyFont="1" applyFill="1" applyBorder="1" applyAlignment="1" applyProtection="1">
      <alignment horizontal="center" vertical="center"/>
      <protection locked="0"/>
    </xf>
    <xf numFmtId="0" fontId="5" fillId="21" borderId="26" xfId="0" applyFont="1" applyFill="1" applyBorder="1" applyAlignment="1" applyProtection="1">
      <alignment horizontal="center" vertical="center"/>
      <protection locked="0"/>
    </xf>
    <xf numFmtId="0" fontId="5" fillId="21" borderId="29" xfId="0" applyFont="1" applyFill="1" applyBorder="1" applyAlignment="1" applyProtection="1">
      <alignment horizontal="center" vertical="center"/>
      <protection locked="0"/>
    </xf>
    <xf numFmtId="0" fontId="5" fillId="22" borderId="29" xfId="0" applyFont="1" applyFill="1" applyBorder="1" applyAlignment="1" applyProtection="1">
      <alignment horizontal="center" vertical="center"/>
      <protection locked="0"/>
    </xf>
    <xf numFmtId="0" fontId="7" fillId="30" borderId="3" xfId="0" applyFont="1" applyFill="1" applyBorder="1" applyAlignment="1">
      <alignment horizontal="center"/>
    </xf>
    <xf numFmtId="0" fontId="18" fillId="20" borderId="3" xfId="0" applyFont="1" applyFill="1" applyBorder="1" applyAlignment="1">
      <alignment horizontal="center" vertical="center"/>
    </xf>
    <xf numFmtId="1" fontId="18" fillId="21" borderId="3" xfId="0" applyNumberFormat="1" applyFont="1" applyFill="1" applyBorder="1" applyAlignment="1">
      <alignment horizontal="center" vertical="center"/>
    </xf>
    <xf numFmtId="1" fontId="18" fillId="22" borderId="3" xfId="0" applyNumberFormat="1" applyFont="1" applyFill="1" applyBorder="1" applyAlignment="1">
      <alignment horizontal="center" vertical="center"/>
    </xf>
    <xf numFmtId="0" fontId="18" fillId="21" borderId="3" xfId="0" applyFont="1" applyFill="1" applyBorder="1" applyAlignment="1">
      <alignment horizontal="center" vertical="center"/>
    </xf>
    <xf numFmtId="0" fontId="18" fillId="22" borderId="3" xfId="0" applyFont="1" applyFill="1" applyBorder="1" applyAlignment="1">
      <alignment horizontal="center" vertical="center"/>
    </xf>
    <xf numFmtId="0" fontId="18" fillId="20" borderId="5" xfId="0" applyFont="1" applyFill="1" applyBorder="1" applyAlignment="1">
      <alignment horizontal="center" vertical="center"/>
    </xf>
    <xf numFmtId="0" fontId="18" fillId="21" borderId="28" xfId="0" applyFont="1" applyFill="1" applyBorder="1" applyAlignment="1">
      <alignment horizontal="center" vertical="center"/>
    </xf>
    <xf numFmtId="0" fontId="18" fillId="22" borderId="28" xfId="0" applyFont="1" applyFill="1" applyBorder="1" applyAlignment="1">
      <alignment horizontal="center" vertical="center"/>
    </xf>
    <xf numFmtId="0" fontId="18" fillId="20" borderId="3" xfId="0" applyFont="1" applyFill="1" applyBorder="1" applyAlignment="1" applyProtection="1">
      <alignment horizontal="center" vertical="center"/>
      <protection locked="0"/>
    </xf>
    <xf numFmtId="0" fontId="18" fillId="21" borderId="3" xfId="0" applyFont="1" applyFill="1" applyBorder="1" applyAlignment="1" applyProtection="1">
      <alignment horizontal="center" vertical="center"/>
      <protection locked="0"/>
    </xf>
    <xf numFmtId="0" fontId="18" fillId="22" borderId="3" xfId="0" applyFont="1" applyFill="1" applyBorder="1" applyAlignment="1" applyProtection="1">
      <alignment horizontal="center" vertical="center"/>
      <protection locked="0"/>
    </xf>
    <xf numFmtId="0" fontId="5" fillId="22" borderId="28" xfId="0" applyFont="1" applyFill="1" applyBorder="1" applyAlignment="1" applyProtection="1">
      <alignment horizontal="center" vertical="center"/>
      <protection locked="0"/>
    </xf>
    <xf numFmtId="0" fontId="5" fillId="22" borderId="26" xfId="0" applyFont="1" applyFill="1" applyBorder="1" applyAlignment="1" applyProtection="1">
      <alignment horizontal="center" vertical="center"/>
      <protection locked="0"/>
    </xf>
    <xf numFmtId="0" fontId="4" fillId="28" borderId="44" xfId="0" applyFont="1" applyFill="1" applyBorder="1" applyAlignment="1">
      <alignment horizontal="center" vertical="center"/>
    </xf>
    <xf numFmtId="0" fontId="4" fillId="28" borderId="44" xfId="0" applyFont="1" applyFill="1" applyBorder="1" applyAlignment="1">
      <alignment horizontal="center" vertical="center" wrapText="1"/>
    </xf>
    <xf numFmtId="0" fontId="20" fillId="24" borderId="26" xfId="0" applyFont="1" applyFill="1" applyBorder="1" applyAlignment="1">
      <alignment horizontal="center" vertical="center"/>
    </xf>
    <xf numFmtId="0" fontId="20" fillId="24" borderId="26" xfId="0" applyFont="1" applyFill="1" applyBorder="1" applyAlignment="1">
      <alignment horizontal="center" vertical="center"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5" fillId="6" borderId="0" xfId="0" applyFont="1" applyFill="1" applyAlignment="1">
      <alignment horizontal="center" vertical="center" wrapText="1"/>
    </xf>
    <xf numFmtId="0" fontId="6" fillId="6" borderId="0" xfId="0" applyFont="1" applyFill="1" applyAlignment="1">
      <alignment horizontal="center" vertical="center" wrapText="1"/>
    </xf>
    <xf numFmtId="0" fontId="5" fillId="7" borderId="0" xfId="0" applyFont="1" applyFill="1" applyAlignment="1">
      <alignment horizontal="center" vertical="center" wrapText="1"/>
    </xf>
    <xf numFmtId="0" fontId="5" fillId="3" borderId="0" xfId="0" applyFont="1" applyFill="1" applyAlignment="1">
      <alignment horizontal="center" vertical="center" wrapText="1"/>
    </xf>
    <xf numFmtId="0" fontId="5" fillId="4" borderId="0" xfId="0" applyFont="1" applyFill="1" applyAlignment="1">
      <alignment horizontal="center" vertical="center" wrapText="1"/>
    </xf>
    <xf numFmtId="0" fontId="21" fillId="0" borderId="0" xfId="0" applyFont="1" applyAlignment="1">
      <alignment horizontal="center" vertical="center" wrapText="1"/>
    </xf>
    <xf numFmtId="0" fontId="21" fillId="6" borderId="0" xfId="0" applyFont="1" applyFill="1" applyAlignment="1">
      <alignment horizontal="center" vertical="center" wrapText="1"/>
    </xf>
    <xf numFmtId="1" fontId="21" fillId="6" borderId="0" xfId="0" applyNumberFormat="1" applyFont="1" applyFill="1" applyAlignment="1">
      <alignment horizontal="center" vertical="center" wrapText="1"/>
    </xf>
    <xf numFmtId="0" fontId="21" fillId="7" borderId="0" xfId="0" applyFont="1" applyFill="1" applyAlignment="1">
      <alignment horizontal="center" vertical="center" wrapText="1"/>
    </xf>
    <xf numFmtId="0" fontId="6" fillId="3" borderId="0" xfId="0" applyFont="1" applyFill="1" applyAlignment="1">
      <alignment horizontal="center" vertical="center" wrapText="1"/>
    </xf>
    <xf numFmtId="0" fontId="21"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8" borderId="0" xfId="0" applyFont="1" applyFill="1" applyAlignment="1">
      <alignment horizontal="center" vertical="center" wrapText="1"/>
    </xf>
    <xf numFmtId="0" fontId="6" fillId="8" borderId="0" xfId="0" applyFont="1" applyFill="1" applyAlignment="1">
      <alignment horizontal="center" vertical="center" wrapText="1"/>
    </xf>
    <xf numFmtId="0" fontId="21" fillId="3" borderId="0" xfId="0" applyFont="1" applyFill="1" applyAlignment="1">
      <alignment horizontal="center" vertical="center" wrapText="1"/>
    </xf>
    <xf numFmtId="0" fontId="22" fillId="6" borderId="0" xfId="0" applyFont="1" applyFill="1" applyAlignment="1">
      <alignment horizontal="center" vertical="center" wrapText="1"/>
    </xf>
    <xf numFmtId="0" fontId="22" fillId="8" borderId="0" xfId="0" applyFont="1" applyFill="1" applyAlignment="1">
      <alignment horizontal="center" vertical="center" wrapText="1"/>
    </xf>
    <xf numFmtId="0" fontId="21" fillId="8" borderId="0" xfId="0" applyFont="1" applyFill="1" applyAlignment="1">
      <alignment horizontal="center" vertical="center" wrapText="1"/>
    </xf>
    <xf numFmtId="1" fontId="5" fillId="6" borderId="0" xfId="0" applyNumberFormat="1" applyFont="1" applyFill="1" applyAlignment="1">
      <alignment horizontal="center" vertical="center" wrapText="1"/>
    </xf>
    <xf numFmtId="0" fontId="10" fillId="16" borderId="3" xfId="0" applyFont="1" applyFill="1" applyBorder="1" applyAlignment="1">
      <alignment horizontal="center" vertical="center"/>
    </xf>
    <xf numFmtId="0" fontId="23" fillId="0" borderId="0" xfId="0" applyFont="1"/>
    <xf numFmtId="0" fontId="17" fillId="29" borderId="40" xfId="0" applyFont="1" applyFill="1" applyBorder="1" applyAlignment="1">
      <alignment horizontal="left"/>
    </xf>
    <xf numFmtId="0" fontId="17" fillId="29" borderId="39" xfId="0" applyFont="1" applyFill="1" applyBorder="1" applyAlignment="1">
      <alignment horizontal="left"/>
    </xf>
    <xf numFmtId="0" fontId="17" fillId="29" borderId="43" xfId="0" applyFont="1" applyFill="1" applyBorder="1" applyAlignment="1">
      <alignment horizontal="left"/>
    </xf>
    <xf numFmtId="0" fontId="10" fillId="0" borderId="44" xfId="0" applyFont="1" applyBorder="1" applyAlignment="1">
      <alignment horizontal="left" vertical="center" wrapText="1"/>
    </xf>
    <xf numFmtId="0" fontId="5" fillId="0" borderId="44" xfId="0" applyFont="1" applyBorder="1" applyAlignment="1">
      <alignment horizontal="left" vertical="center" wrapText="1"/>
    </xf>
    <xf numFmtId="0" fontId="18" fillId="0" borderId="44" xfId="0" applyFont="1" applyBorder="1" applyAlignment="1">
      <alignment horizontal="left" vertical="center" wrapText="1"/>
    </xf>
    <xf numFmtId="0" fontId="4" fillId="0" borderId="44" xfId="0" applyFont="1" applyBorder="1" applyAlignment="1">
      <alignment horizontal="left" vertical="center" wrapText="1"/>
    </xf>
    <xf numFmtId="0" fontId="25" fillId="0" borderId="44" xfId="0" applyFont="1" applyBorder="1" applyAlignment="1">
      <alignment horizontal="left" vertical="center" wrapText="1"/>
    </xf>
    <xf numFmtId="0" fontId="5" fillId="0" borderId="41" xfId="0" applyFont="1" applyBorder="1" applyAlignment="1">
      <alignment horizontal="left" vertical="center" wrapText="1"/>
    </xf>
    <xf numFmtId="0" fontId="5" fillId="0" borderId="0" xfId="0" applyFont="1" applyAlignment="1">
      <alignment horizontal="left" vertical="center" wrapText="1"/>
    </xf>
    <xf numFmtId="0" fontId="5" fillId="0" borderId="45" xfId="0" applyFont="1" applyBorder="1" applyAlignment="1">
      <alignment horizontal="left" vertical="center" wrapText="1"/>
    </xf>
    <xf numFmtId="0" fontId="5" fillId="0" borderId="42"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41" xfId="0" applyFont="1" applyBorder="1" applyAlignment="1">
      <alignment horizontal="left" vertical="center"/>
    </xf>
    <xf numFmtId="0" fontId="5" fillId="0" borderId="0" xfId="0" applyFont="1" applyAlignment="1">
      <alignment horizontal="left" vertical="center"/>
    </xf>
    <xf numFmtId="0" fontId="5" fillId="0" borderId="45" xfId="0" applyFont="1" applyBorder="1" applyAlignment="1">
      <alignment horizontal="left" vertical="center"/>
    </xf>
    <xf numFmtId="0" fontId="4" fillId="28" borderId="44" xfId="0" applyFont="1" applyFill="1" applyBorder="1" applyAlignment="1">
      <alignment horizontal="center" vertical="center" wrapText="1"/>
    </xf>
    <xf numFmtId="0" fontId="5" fillId="0" borderId="40" xfId="0" applyFont="1" applyBorder="1" applyAlignment="1">
      <alignment horizontal="left" vertical="center" wrapText="1"/>
    </xf>
    <xf numFmtId="0" fontId="5" fillId="0" borderId="39" xfId="0" applyFont="1" applyBorder="1" applyAlignment="1">
      <alignment horizontal="left" vertical="center" wrapText="1"/>
    </xf>
    <xf numFmtId="0" fontId="5" fillId="0" borderId="43" xfId="0" applyFont="1" applyBorder="1" applyAlignment="1">
      <alignment horizontal="left" vertical="center" wrapText="1"/>
    </xf>
    <xf numFmtId="0" fontId="23" fillId="0" borderId="0" xfId="0" applyFont="1" applyAlignment="1">
      <alignment horizontal="center"/>
    </xf>
    <xf numFmtId="44" fontId="5" fillId="0" borderId="3" xfId="2" applyFont="1" applyBorder="1" applyAlignment="1" applyProtection="1">
      <alignment horizontal="center" vertical="center"/>
      <protection locked="0"/>
    </xf>
    <xf numFmtId="0" fontId="5" fillId="0" borderId="20"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7" fillId="9" borderId="13"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7"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11" borderId="7" xfId="0" applyFont="1" applyFill="1" applyBorder="1" applyAlignment="1">
      <alignment horizontal="center" vertical="center"/>
    </xf>
    <xf numFmtId="0" fontId="7" fillId="12" borderId="8" xfId="0" applyFont="1" applyFill="1" applyBorder="1" applyAlignment="1">
      <alignment horizontal="center" vertical="center"/>
    </xf>
    <xf numFmtId="0" fontId="7" fillId="12" borderId="9" xfId="0" applyFont="1" applyFill="1" applyBorder="1" applyAlignment="1">
      <alignment horizontal="center" vertical="center"/>
    </xf>
    <xf numFmtId="0" fontId="7" fillId="12" borderId="10" xfId="0" applyFont="1" applyFill="1" applyBorder="1" applyAlignment="1">
      <alignment horizontal="center" vertical="center"/>
    </xf>
    <xf numFmtId="0" fontId="0" fillId="14" borderId="14" xfId="0" applyFill="1" applyBorder="1" applyAlignment="1">
      <alignment horizontal="left" wrapText="1"/>
    </xf>
    <xf numFmtId="0" fontId="0" fillId="14" borderId="12" xfId="0" applyFill="1" applyBorder="1" applyAlignment="1">
      <alignment horizontal="left" wrapText="1"/>
    </xf>
    <xf numFmtId="0" fontId="0" fillId="14" borderId="15" xfId="0" applyFill="1" applyBorder="1" applyAlignment="1">
      <alignment horizontal="left" wrapText="1"/>
    </xf>
    <xf numFmtId="0" fontId="5"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14"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0" fillId="14" borderId="14" xfId="0" applyFill="1" applyBorder="1" applyAlignment="1">
      <alignment horizontal="center" wrapText="1"/>
    </xf>
    <xf numFmtId="0" fontId="0" fillId="14" borderId="12" xfId="0" applyFill="1" applyBorder="1" applyAlignment="1">
      <alignment horizontal="center" wrapText="1"/>
    </xf>
    <xf numFmtId="0" fontId="0" fillId="14" borderId="15" xfId="0" applyFill="1" applyBorder="1" applyAlignment="1">
      <alignment horizontal="center" wrapText="1"/>
    </xf>
    <xf numFmtId="0" fontId="6" fillId="10" borderId="20" xfId="0" applyFont="1" applyFill="1" applyBorder="1" applyAlignment="1">
      <alignment horizontal="left" vertical="center"/>
    </xf>
    <xf numFmtId="0" fontId="6" fillId="10" borderId="18" xfId="0" applyFont="1" applyFill="1" applyBorder="1" applyAlignment="1">
      <alignment horizontal="left" vertical="center"/>
    </xf>
    <xf numFmtId="0" fontId="6" fillId="5" borderId="13" xfId="0" applyFont="1" applyFill="1" applyBorder="1" applyAlignment="1">
      <alignment horizontal="center" vertical="center"/>
    </xf>
    <xf numFmtId="0" fontId="6" fillId="5" borderId="3" xfId="0" applyFont="1" applyFill="1" applyBorder="1" applyAlignment="1">
      <alignment horizontal="center" vertical="center"/>
    </xf>
    <xf numFmtId="0" fontId="5" fillId="20" borderId="14" xfId="0" applyFont="1" applyFill="1" applyBorder="1" applyAlignment="1" applyProtection="1">
      <alignment horizontal="center" vertical="center"/>
      <protection locked="0"/>
    </xf>
    <xf numFmtId="0" fontId="5" fillId="20" borderId="12" xfId="0" applyFont="1" applyFill="1" applyBorder="1" applyAlignment="1" applyProtection="1">
      <alignment horizontal="center" vertical="center"/>
      <protection locked="0"/>
    </xf>
    <xf numFmtId="0" fontId="5" fillId="20" borderId="15" xfId="0" applyFont="1" applyFill="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5" borderId="3" xfId="0" applyFont="1" applyFill="1" applyBorder="1" applyAlignment="1">
      <alignment horizontal="center" vertical="center"/>
    </xf>
    <xf numFmtId="0" fontId="5" fillId="0" borderId="29"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7" fillId="17" borderId="20" xfId="0" applyFont="1" applyFill="1" applyBorder="1" applyAlignment="1">
      <alignment horizontal="left" vertical="center" wrapText="1"/>
    </xf>
    <xf numFmtId="0" fontId="7" fillId="17" borderId="18" xfId="0" applyFont="1" applyFill="1" applyBorder="1" applyAlignment="1">
      <alignment horizontal="left" vertical="center" wrapText="1"/>
    </xf>
    <xf numFmtId="0" fontId="1" fillId="10" borderId="20" xfId="0" applyFont="1" applyFill="1" applyBorder="1" applyAlignment="1">
      <alignment horizontal="left" vertical="center"/>
    </xf>
    <xf numFmtId="0" fontId="1" fillId="10" borderId="18" xfId="0" applyFont="1" applyFill="1" applyBorder="1" applyAlignment="1">
      <alignment horizontal="left" vertical="center"/>
    </xf>
    <xf numFmtId="0" fontId="8" fillId="13" borderId="11" xfId="0" applyFont="1" applyFill="1" applyBorder="1" applyAlignment="1">
      <alignment horizontal="center" vertical="center"/>
    </xf>
    <xf numFmtId="0" fontId="8" fillId="13" borderId="12" xfId="0" applyFont="1" applyFill="1" applyBorder="1" applyAlignment="1">
      <alignment horizontal="center" vertical="center"/>
    </xf>
    <xf numFmtId="0" fontId="5" fillId="0" borderId="2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8" fillId="13" borderId="19" xfId="0" applyFont="1" applyFill="1" applyBorder="1" applyAlignment="1">
      <alignment horizontal="center" vertical="center"/>
    </xf>
    <xf numFmtId="0" fontId="8" fillId="13" borderId="9" xfId="0" applyFont="1" applyFill="1" applyBorder="1" applyAlignment="1">
      <alignment horizontal="center" vertical="center"/>
    </xf>
    <xf numFmtId="0" fontId="5" fillId="21" borderId="14" xfId="0" applyFont="1" applyFill="1" applyBorder="1" applyAlignment="1" applyProtection="1">
      <alignment horizontal="center" vertical="center" wrapText="1"/>
      <protection locked="0"/>
    </xf>
    <xf numFmtId="0" fontId="5" fillId="21" borderId="12" xfId="0" applyFont="1" applyFill="1" applyBorder="1" applyAlignment="1" applyProtection="1">
      <alignment horizontal="center" vertical="center" wrapText="1"/>
      <protection locked="0"/>
    </xf>
    <xf numFmtId="0" fontId="5" fillId="21" borderId="15" xfId="0" applyFont="1" applyFill="1" applyBorder="1" applyAlignment="1" applyProtection="1">
      <alignment horizontal="center" vertical="center" wrapText="1"/>
      <protection locked="0"/>
    </xf>
    <xf numFmtId="0" fontId="5" fillId="22" borderId="14" xfId="0" applyFont="1" applyFill="1" applyBorder="1" applyAlignment="1" applyProtection="1">
      <alignment horizontal="center" vertical="center" wrapText="1"/>
      <protection locked="0"/>
    </xf>
    <xf numFmtId="0" fontId="5" fillId="22" borderId="12" xfId="0" applyFont="1" applyFill="1" applyBorder="1" applyAlignment="1" applyProtection="1">
      <alignment horizontal="center" vertical="center" wrapText="1"/>
      <protection locked="0"/>
    </xf>
    <xf numFmtId="0" fontId="5" fillId="22" borderId="15" xfId="0" applyFont="1" applyFill="1" applyBorder="1" applyAlignment="1" applyProtection="1">
      <alignment horizontal="center" vertical="center" wrapText="1"/>
      <protection locked="0"/>
    </xf>
    <xf numFmtId="0" fontId="5" fillId="20" borderId="3" xfId="0" applyFont="1" applyFill="1" applyBorder="1" applyAlignment="1" applyProtection="1">
      <alignment vertical="center" wrapText="1"/>
      <protection locked="0"/>
    </xf>
    <xf numFmtId="0" fontId="5" fillId="20" borderId="16" xfId="0" applyFont="1" applyFill="1" applyBorder="1" applyAlignment="1" applyProtection="1">
      <alignment vertical="center" wrapText="1"/>
      <protection locked="0"/>
    </xf>
    <xf numFmtId="0" fontId="13" fillId="23" borderId="0" xfId="0" applyFont="1" applyFill="1" applyAlignment="1">
      <alignment horizontal="left" vertical="center"/>
    </xf>
    <xf numFmtId="0" fontId="7" fillId="18" borderId="8" xfId="0" applyFont="1" applyFill="1" applyBorder="1" applyAlignment="1">
      <alignment horizontal="center" vertical="center"/>
    </xf>
    <xf numFmtId="0" fontId="7" fillId="18" borderId="9" xfId="0" applyFont="1" applyFill="1" applyBorder="1" applyAlignment="1">
      <alignment horizontal="center" vertical="center"/>
    </xf>
    <xf numFmtId="0" fontId="5" fillId="20" borderId="14" xfId="0" applyFont="1" applyFill="1" applyBorder="1" applyAlignment="1" applyProtection="1">
      <alignment vertical="center" wrapText="1"/>
      <protection locked="0"/>
    </xf>
    <xf numFmtId="0" fontId="5" fillId="20" borderId="12" xfId="0" applyFont="1" applyFill="1" applyBorder="1" applyAlignment="1" applyProtection="1">
      <alignment vertical="center" wrapText="1"/>
      <protection locked="0"/>
    </xf>
    <xf numFmtId="0" fontId="5" fillId="20" borderId="15" xfId="0" applyFont="1" applyFill="1" applyBorder="1" applyAlignment="1" applyProtection="1">
      <alignment vertical="center" wrapText="1"/>
      <protection locked="0"/>
    </xf>
    <xf numFmtId="0" fontId="7" fillId="9" borderId="29" xfId="0" applyFont="1" applyFill="1" applyBorder="1" applyAlignment="1">
      <alignment horizontal="center" vertical="center"/>
    </xf>
    <xf numFmtId="0" fontId="5" fillId="5" borderId="28" xfId="0" applyFont="1" applyFill="1" applyBorder="1" applyAlignment="1">
      <alignment horizontal="center" vertical="center" wrapText="1"/>
    </xf>
    <xf numFmtId="0" fontId="5" fillId="5" borderId="30" xfId="0" applyFont="1" applyFill="1" applyBorder="1" applyAlignment="1">
      <alignment horizontal="center" vertical="center"/>
    </xf>
    <xf numFmtId="0" fontId="6" fillId="10" borderId="3" xfId="0" applyFont="1" applyFill="1" applyBorder="1" applyAlignment="1">
      <alignment horizontal="left"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4" fillId="9" borderId="35" xfId="0" applyFont="1" applyFill="1" applyBorder="1" applyAlignment="1">
      <alignment horizontal="center" vertical="center" shrinkToFit="1"/>
    </xf>
    <xf numFmtId="0" fontId="4" fillId="9" borderId="36" xfId="0" applyFont="1" applyFill="1" applyBorder="1" applyAlignment="1">
      <alignment horizontal="center" vertical="center" shrinkToFit="1"/>
    </xf>
    <xf numFmtId="0" fontId="4" fillId="9" borderId="4" xfId="0" applyFont="1" applyFill="1" applyBorder="1" applyAlignment="1">
      <alignment horizontal="center" vertical="center"/>
    </xf>
    <xf numFmtId="0" fontId="4" fillId="9" borderId="37"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38" xfId="0" applyFont="1" applyFill="1" applyBorder="1" applyAlignment="1">
      <alignment horizontal="center" vertical="center"/>
    </xf>
    <xf numFmtId="0" fontId="5" fillId="0" borderId="3" xfId="0" applyFont="1" applyBorder="1" applyAlignment="1">
      <alignment horizontal="center" vertical="center"/>
    </xf>
    <xf numFmtId="1" fontId="5" fillId="0" borderId="3" xfId="0" applyNumberFormat="1" applyFont="1" applyBorder="1" applyAlignment="1">
      <alignment horizontal="center" vertical="center"/>
    </xf>
    <xf numFmtId="0" fontId="7" fillId="30" borderId="14" xfId="0" applyFont="1" applyFill="1" applyBorder="1" applyAlignment="1">
      <alignment horizontal="center"/>
    </xf>
    <xf numFmtId="0" fontId="7" fillId="30" borderId="12" xfId="0" applyFont="1" applyFill="1" applyBorder="1" applyAlignment="1">
      <alignment horizontal="center"/>
    </xf>
    <xf numFmtId="0" fontId="7" fillId="30" borderId="29" xfId="0" applyFont="1" applyFill="1" applyBorder="1" applyAlignment="1">
      <alignment horizontal="center"/>
    </xf>
    <xf numFmtId="0" fontId="0" fillId="0" borderId="24"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48" xfId="0" applyBorder="1" applyAlignment="1">
      <alignment horizontal="center"/>
    </xf>
    <xf numFmtId="0" fontId="0" fillId="0" borderId="0" xfId="0" applyAlignment="1">
      <alignment horizontal="center"/>
    </xf>
    <xf numFmtId="0" fontId="0" fillId="0" borderId="32"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3" xfId="0" applyBorder="1" applyAlignment="1">
      <alignment horizontal="center"/>
    </xf>
    <xf numFmtId="0" fontId="7" fillId="11" borderId="8" xfId="0" applyFont="1" applyFill="1" applyBorder="1" applyAlignment="1">
      <alignment horizontal="center" vertical="center"/>
    </xf>
    <xf numFmtId="0" fontId="7" fillId="11" borderId="9" xfId="0" applyFont="1" applyFill="1" applyBorder="1" applyAlignment="1">
      <alignment horizontal="center" vertical="center"/>
    </xf>
    <xf numFmtId="0" fontId="7" fillId="11" borderId="23" xfId="0" applyFont="1" applyFill="1" applyBorder="1" applyAlignment="1">
      <alignment horizontal="center" vertical="center"/>
    </xf>
    <xf numFmtId="0" fontId="7" fillId="12" borderId="23" xfId="0" applyFont="1" applyFill="1" applyBorder="1" applyAlignment="1">
      <alignment horizontal="center" vertical="center"/>
    </xf>
    <xf numFmtId="0" fontId="11" fillId="0" borderId="0" xfId="0" applyFont="1" applyAlignment="1">
      <alignment horizontal="left" vertical="center" wrapText="1"/>
    </xf>
    <xf numFmtId="0" fontId="6" fillId="0" borderId="0" xfId="0" applyFont="1" applyAlignment="1">
      <alignment horizontal="left" vertical="center" wrapText="1"/>
    </xf>
    <xf numFmtId="0" fontId="6" fillId="2" borderId="0" xfId="0" applyFont="1" applyFill="1" applyAlignment="1">
      <alignment horizontal="center" vertical="center" wrapText="1"/>
    </xf>
    <xf numFmtId="0" fontId="6" fillId="3" borderId="0" xfId="0" applyFont="1" applyFill="1" applyAlignment="1">
      <alignment horizontal="center" vertical="center" wrapText="1"/>
    </xf>
    <xf numFmtId="0" fontId="5" fillId="4" borderId="0" xfId="0" applyFont="1" applyFill="1" applyAlignment="1">
      <alignment horizontal="center" vertical="center" wrapText="1"/>
    </xf>
    <xf numFmtId="9" fontId="5" fillId="0" borderId="25" xfId="0" applyNumberFormat="1" applyFont="1" applyBorder="1" applyAlignment="1" applyProtection="1">
      <alignment horizontal="center" vertical="center"/>
      <protection locked="0"/>
    </xf>
    <xf numFmtId="9" fontId="5" fillId="0" borderId="27" xfId="0" applyNumberFormat="1" applyFont="1" applyBorder="1" applyAlignment="1" applyProtection="1">
      <alignment horizontal="center" vertical="center"/>
      <protection locked="0"/>
    </xf>
    <xf numFmtId="9" fontId="5" fillId="0" borderId="34" xfId="0" applyNumberFormat="1" applyFont="1" applyBorder="1" applyAlignment="1" applyProtection="1">
      <alignment horizontal="center" vertical="center"/>
      <protection locked="0"/>
    </xf>
    <xf numFmtId="9" fontId="5" fillId="0" borderId="25" xfId="0" applyNumberFormat="1" applyFont="1" applyBorder="1" applyAlignment="1">
      <alignment horizontal="center" vertical="center"/>
    </xf>
    <xf numFmtId="9" fontId="5" fillId="0" borderId="27" xfId="0" applyNumberFormat="1" applyFont="1" applyBorder="1" applyAlignment="1">
      <alignment horizontal="center" vertical="center"/>
    </xf>
    <xf numFmtId="9" fontId="5" fillId="0" borderId="34" xfId="0" applyNumberFormat="1" applyFont="1" applyBorder="1" applyAlignment="1">
      <alignment horizontal="center" vertical="center"/>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8" xfId="0" applyFont="1" applyBorder="1" applyAlignment="1">
      <alignment horizontal="left"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0" fillId="4" borderId="0" xfId="0"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wrapText="1"/>
    </xf>
  </cellXfs>
  <cellStyles count="3">
    <cellStyle name="Currency" xfId="2" builtinId="4"/>
    <cellStyle name="Normal" xfId="0" builtinId="0"/>
    <cellStyle name="Percent" xfId="1" builtinId="5"/>
  </cellStyles>
  <dxfs count="122">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fill>
        <patternFill patternType="none">
          <fgColor indexed="64"/>
          <bgColor auto="1"/>
        </patternFill>
      </fill>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2"/>
        <color auto="1"/>
        <name val="Verdana"/>
        <family val="2"/>
        <scheme val="none"/>
      </font>
      <numFmt numFmtId="0" formatCode="Genera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protection locked="1" hidden="0"/>
    </dxf>
    <dxf>
      <numFmt numFmtId="0" formatCode="General"/>
      <alignment horizontal="general" vertical="bottom" textRotation="0" wrapText="1" indent="0" justifyLastLine="0" shrinkToFit="0" readingOrder="0"/>
      <protection locked="1" hidden="0"/>
    </dxf>
    <dxf>
      <numFmt numFmtId="0" formatCode="General"/>
      <fill>
        <patternFill patternType="none">
          <fgColor indexed="64"/>
          <bgColor auto="1"/>
        </patternFill>
      </fill>
      <alignment horizontal="general" vertical="bottom" textRotation="0" wrapText="1" indent="0" justifyLastLine="0" shrinkToFit="0" readingOrder="0"/>
      <protection locked="1" hidden="0"/>
    </dxf>
    <dxf>
      <numFmt numFmtId="30" formatCode="@"/>
      <alignment horizontal="general" vertical="bottom" textRotation="0" wrapText="1" indent="0" justifyLastLine="0" shrinkToFit="0" readingOrder="0"/>
      <protection locked="1" hidden="0"/>
    </dxf>
    <dxf>
      <numFmt numFmtId="0" formatCode="General"/>
      <alignment horizontal="general" vertical="bottom" textRotation="0" wrapText="1" indent="0" justifyLastLine="0" shrinkToFit="0" readingOrder="0"/>
      <protection locked="1" hidden="0"/>
    </dxf>
    <dxf>
      <fill>
        <patternFill patternType="none">
          <fgColor indexed="64"/>
          <bgColor auto="1"/>
        </patternFill>
      </fill>
      <alignment horizontal="general"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horizontal="center"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7" tint="0.39997558519241921"/>
        </patternFill>
      </fill>
      <alignment horizontal="center" vertical="center" textRotation="0" wrapText="1" indent="0" justifyLastLine="0" shrinkToFit="0" readingOrder="0"/>
    </dxf>
    <dxf>
      <numFmt numFmtId="0" formatCode="General"/>
      <fill>
        <patternFill patternType="solid">
          <fgColor indexed="64"/>
          <bgColor theme="0"/>
        </patternFill>
      </fill>
      <alignment horizontal="center" vertical="center" textRotation="0" wrapText="1" indent="0" justifyLastLine="0" shrinkToFit="0" readingOrder="0"/>
    </dxf>
    <dxf>
      <numFmt numFmtId="0" formatCode="General"/>
      <fill>
        <patternFill patternType="solid">
          <fgColor indexed="64"/>
          <bgColor theme="0"/>
        </patternFill>
      </fill>
      <alignment horizontal="center" vertical="center" textRotation="0" wrapText="1" indent="0" justifyLastLine="0" shrinkToFit="0" readingOrder="0"/>
    </dxf>
    <dxf>
      <numFmt numFmtId="0" formatCode="General"/>
      <fill>
        <patternFill patternType="solid">
          <fgColor indexed="64"/>
          <bgColor theme="0"/>
        </patternFill>
      </fill>
      <alignment horizontal="center" vertical="center" textRotation="0" wrapText="1" indent="0" justifyLastLine="0" shrinkToFit="0" readingOrder="0"/>
    </dxf>
    <dxf>
      <numFmt numFmtId="0" formatCode="General"/>
      <fill>
        <patternFill patternType="solid">
          <fgColor indexed="64"/>
          <bgColor theme="0"/>
        </patternFill>
      </fill>
      <alignment horizontal="center" vertical="center" textRotation="0" wrapText="1" indent="0" justifyLastLine="0" shrinkToFit="0" readingOrder="0"/>
    </dxf>
    <dxf>
      <font>
        <b/>
      </font>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solid">
          <fgColor indexed="64"/>
          <bgColor theme="5" tint="0.39997558519241921"/>
        </patternFill>
      </fill>
      <alignment horizontal="center" vertical="center" textRotation="0" wrapText="1" indent="0" justifyLastLine="0" shrinkToFit="0" readingOrder="0"/>
    </dxf>
    <dxf>
      <numFmt numFmtId="0" formatCode="General"/>
      <fill>
        <patternFill patternType="solid">
          <fgColor indexed="64"/>
          <bgColor theme="0"/>
        </patternFill>
      </fill>
      <alignment horizontal="center" vertical="center" textRotation="0" wrapText="1" indent="0" justifyLastLine="0" shrinkToFit="0" readingOrder="0"/>
    </dxf>
    <dxf>
      <numFmt numFmtId="0" formatCode="General"/>
      <fill>
        <patternFill patternType="solid">
          <fgColor indexed="64"/>
          <bgColor theme="0"/>
        </patternFill>
      </fill>
      <alignment horizontal="center" vertical="center" textRotation="0" wrapText="1" indent="0" justifyLastLine="0" shrinkToFit="0" readingOrder="0"/>
    </dxf>
    <dxf>
      <numFmt numFmtId="0" formatCode="General"/>
      <fill>
        <patternFill patternType="solid">
          <fgColor indexed="64"/>
          <bgColor theme="0"/>
        </patternFill>
      </fill>
      <alignment horizontal="center" vertical="center" textRotation="0" wrapText="1" indent="0" justifyLastLine="0" shrinkToFit="0" readingOrder="0"/>
    </dxf>
    <dxf>
      <numFmt numFmtId="0" formatCode="General"/>
      <fill>
        <patternFill patternType="solid">
          <fgColor indexed="64"/>
          <bgColor theme="0"/>
        </patternFill>
      </fill>
      <alignment horizontal="center" vertical="center" textRotation="0" wrapText="1" indent="0" justifyLastLine="0" shrinkToFit="0" readingOrder="0"/>
    </dxf>
    <dxf>
      <font>
        <b/>
      </font>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vertAlign val="baseline"/>
        <sz val="12"/>
        <name val="Arial"/>
        <family val="2"/>
        <scheme val="none"/>
      </font>
      <numFmt numFmtId="0" formatCode="General"/>
      <fill>
        <patternFill patternType="solid">
          <fgColor indexed="64"/>
          <bgColor theme="7" tint="0.39997558519241921"/>
        </patternFill>
      </fill>
      <alignment horizontal="center" vertical="center" textRotation="0" wrapText="1" indent="0" justifyLastLine="0" shrinkToFit="0" readingOrder="0"/>
      <protection locked="1" hidden="0"/>
    </dxf>
    <dxf>
      <font>
        <strike val="0"/>
        <outline val="0"/>
        <shadow val="0"/>
        <vertAlign val="baseline"/>
        <sz val="12"/>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vertAlign val="baseline"/>
        <sz val="12"/>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vertAlign val="baseline"/>
        <sz val="12"/>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vertAlign val="baseline"/>
        <sz val="12"/>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strike val="0"/>
        <outline val="0"/>
        <shadow val="0"/>
        <vertAlign val="baseline"/>
        <sz val="12"/>
        <name val="Arial"/>
        <family val="2"/>
        <scheme val="none"/>
      </font>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vertAlign val="baseline"/>
        <sz val="12"/>
        <name val="Arial"/>
        <family val="2"/>
        <scheme val="none"/>
      </font>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vertAlign val="baseline"/>
        <sz val="12"/>
        <name val="Arial"/>
        <family val="2"/>
        <scheme val="none"/>
      </font>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vertAlign val="baseline"/>
        <sz val="12"/>
        <name val="Arial"/>
        <family val="2"/>
        <scheme val="none"/>
      </font>
      <alignment horizontal="center" vertical="center" textRotation="0" wrapText="1" indent="0" justifyLastLine="0" shrinkToFit="0" readingOrder="0"/>
      <protection locked="1" hidden="0"/>
    </dxf>
    <dxf>
      <font>
        <strike val="0"/>
        <outline val="0"/>
        <shadow val="0"/>
        <vertAlign val="baseline"/>
        <sz val="12"/>
        <name val="Arial"/>
        <family val="2"/>
        <scheme val="none"/>
      </font>
      <numFmt numFmtId="0" formatCode="General"/>
      <fill>
        <patternFill patternType="solid">
          <fgColor indexed="64"/>
          <bgColor theme="5" tint="0.39997558519241921"/>
        </patternFill>
      </fill>
      <alignment horizontal="center" vertical="center" textRotation="0" wrapText="1" indent="0" justifyLastLine="0" shrinkToFit="0" readingOrder="0"/>
      <protection locked="1" hidden="0"/>
    </dxf>
    <dxf>
      <font>
        <strike val="0"/>
        <outline val="0"/>
        <shadow val="0"/>
        <vertAlign val="baseline"/>
        <sz val="12"/>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vertAlign val="baseline"/>
        <sz val="12"/>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vertAlign val="baseline"/>
        <sz val="12"/>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vertAlign val="baseline"/>
        <sz val="12"/>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strike val="0"/>
        <outline val="0"/>
        <shadow val="0"/>
        <vertAlign val="baseline"/>
        <sz val="12"/>
        <name val="Arial"/>
        <family val="2"/>
        <scheme val="none"/>
      </font>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vertAlign val="baseline"/>
        <sz val="12"/>
        <name val="Arial"/>
        <family val="2"/>
        <scheme val="none"/>
      </font>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vertAlign val="baseline"/>
        <sz val="12"/>
        <name val="Arial"/>
        <family val="2"/>
        <scheme val="none"/>
      </font>
      <fill>
        <patternFill patternType="solid">
          <fgColor indexed="64"/>
          <bgColor theme="0"/>
        </patternFill>
      </fill>
      <alignment horizontal="center" vertical="center" textRotation="0" wrapText="1" indent="0" justifyLastLine="0" shrinkToFit="0" readingOrder="0"/>
      <protection locked="1" hidden="0"/>
    </dxf>
    <dxf>
      <font>
        <strike val="0"/>
        <outline val="0"/>
        <shadow val="0"/>
        <vertAlign val="baseline"/>
        <sz val="12"/>
        <name val="Arial"/>
        <family val="2"/>
        <scheme val="none"/>
      </font>
      <alignment horizontal="center" vertical="center" textRotation="0" wrapText="1" indent="0" justifyLastLine="0" shrinkToFit="0" readingOrder="0"/>
      <protection locked="1" hidden="0"/>
    </dxf>
    <dxf>
      <font>
        <strike val="0"/>
        <outline val="0"/>
        <shadow val="0"/>
        <vertAlign val="baseline"/>
        <sz val="12"/>
        <name val="Arial"/>
        <family val="2"/>
        <scheme val="none"/>
      </font>
      <numFmt numFmtId="0" formatCode="General"/>
      <alignment horizontal="center" vertical="center" textRotation="0" wrapText="1" indent="0" justifyLastLine="0" shrinkToFit="0" readingOrder="0"/>
      <protection locked="1" hidden="0"/>
    </dxf>
    <dxf>
      <font>
        <strike val="0"/>
        <outline val="0"/>
        <shadow val="0"/>
        <vertAlign val="baseline"/>
        <sz val="12"/>
        <name val="Arial"/>
        <family val="2"/>
        <scheme val="none"/>
      </font>
      <numFmt numFmtId="0" formatCode="General"/>
      <alignment horizontal="center" vertical="center" textRotation="0" wrapText="1" indent="0" justifyLastLine="0" shrinkToFit="0" readingOrder="0"/>
      <protection locked="1" hidden="0"/>
    </dxf>
    <dxf>
      <font>
        <strike val="0"/>
        <outline val="0"/>
        <shadow val="0"/>
        <vertAlign val="baseline"/>
        <sz val="12"/>
        <name val="Arial"/>
        <family val="2"/>
        <scheme val="none"/>
      </font>
      <numFmt numFmtId="0" formatCode="General"/>
      <alignment horizontal="center" vertical="center" textRotation="0" wrapText="1" indent="0" justifyLastLine="0" shrinkToFit="0" readingOrder="0"/>
      <protection locked="1" hidden="0"/>
    </dxf>
    <dxf>
      <font>
        <strike val="0"/>
        <outline val="0"/>
        <shadow val="0"/>
        <vertAlign val="baseline"/>
        <sz val="12"/>
        <name val="Arial"/>
        <family val="2"/>
        <scheme val="none"/>
      </font>
      <numFmt numFmtId="0" formatCode="General"/>
      <alignment horizontal="center" vertical="center" textRotation="0" wrapText="1" indent="0" justifyLastLine="0" shrinkToFit="0" readingOrder="0"/>
      <protection locked="1" hidden="0"/>
    </dxf>
    <dxf>
      <font>
        <strike val="0"/>
        <outline val="0"/>
        <shadow val="0"/>
        <vertAlign val="baseline"/>
        <sz val="12"/>
        <name val="Arial"/>
        <family val="2"/>
        <scheme val="none"/>
      </font>
      <numFmt numFmtId="0" formatCode="General"/>
      <alignment horizontal="center" vertical="center" textRotation="0" wrapText="1" indent="0" justifyLastLine="0" shrinkToFit="0" readingOrder="0"/>
      <protection locked="1" hidden="0"/>
    </dxf>
    <dxf>
      <font>
        <strike val="0"/>
        <outline val="0"/>
        <shadow val="0"/>
        <vertAlign val="baseline"/>
        <sz val="12"/>
        <name val="Arial"/>
        <family val="2"/>
        <scheme val="none"/>
      </font>
      <alignment horizontal="center" vertical="center" textRotation="0" wrapText="1" indent="0" justifyLastLine="0" shrinkToFit="0" readingOrder="0"/>
      <protection locked="1" hidden="0"/>
    </dxf>
    <dxf>
      <font>
        <strike val="0"/>
        <outline val="0"/>
        <shadow val="0"/>
        <vertAlign val="baseline"/>
        <sz val="12"/>
        <name val="Arial"/>
        <family val="2"/>
        <scheme val="none"/>
      </font>
      <alignment horizontal="center" vertical="center" textRotation="0" wrapText="1" indent="0" justifyLastLine="0" shrinkToFit="0" readingOrder="0"/>
      <protection locked="1" hidden="0"/>
    </dxf>
    <dxf>
      <font>
        <strike val="0"/>
        <outline val="0"/>
        <shadow val="0"/>
        <vertAlign val="baseline"/>
        <sz val="12"/>
        <name val="Arial"/>
        <family val="2"/>
        <scheme val="none"/>
      </font>
      <alignment horizontal="center" vertical="center" textRotation="0" wrapText="1" indent="0" justifyLastLine="0" shrinkToFit="0" readingOrder="0"/>
      <protection locked="1" hidden="0"/>
    </dxf>
    <dxf>
      <font>
        <strike val="0"/>
        <outline val="0"/>
        <shadow val="0"/>
        <vertAlign val="baseline"/>
        <sz val="12"/>
        <name val="Arial"/>
        <family val="2"/>
        <scheme val="none"/>
      </font>
      <alignment horizontal="center" vertical="center"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9C0006"/>
      <color rgb="FFFFC9C9"/>
      <color rgb="FFFFC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C67AC5-A253-4550-82E9-DFC58CF49613}" name="YPU_Ranges" displayName="YPU_Ranges" ref="A14:G46" totalsRowShown="0" headerRowDxfId="109" dataDxfId="108">
  <tableColumns count="7">
    <tableColumn id="1" xr3:uid="{EF9B6137-AA1E-43BE-94A8-1F3904520036}" name="Measure Type" dataDxfId="107"/>
    <tableColumn id="2" xr3:uid="{4546B6AF-9B89-412E-8D26-9AEB602DEE9D}" name="Curriculum" dataDxfId="106"/>
    <tableColumn id="3" xr3:uid="{1F05B2F3-3278-497A-8D4B-A4AA384CD559}" name="Q1" dataDxfId="105">
      <calculatedColumnFormula>ROUND(YPU_Ranges[[#This Row],[Annual]]*0.333, 0)</calculatedColumnFormula>
    </tableColumn>
    <tableColumn id="4" xr3:uid="{90521586-38DF-4120-88C7-762C3EF3EF31}" name="Q2" dataDxfId="104">
      <calculatedColumnFormula>ROUND(YPU_Ranges[[#This Row],[Annual]]*0.333, 0)</calculatedColumnFormula>
    </tableColumn>
    <tableColumn id="5" xr3:uid="{92F5C9E5-816D-46CB-B3EC-EAF82EF17898}" name="Q3" dataDxfId="103">
      <calculatedColumnFormula>(YPU_Ranges[[#This Row],[Annual]])*(0.75*0.333)</calculatedColumnFormula>
    </tableColumn>
    <tableColumn id="6" xr3:uid="{23DBF334-2253-4C1A-888C-EAD4FC51D284}" name="Q4" dataDxfId="102">
      <calculatedColumnFormula>YPU_Ranges[[#This Row],[Annual]]*(0.25*0.333)</calculatedColumnFormula>
    </tableColumn>
    <tableColumn id="7" xr3:uid="{83F71196-2401-4194-85F3-1937F2D44E83}" name="Annual" dataDxfId="101">
      <calculatedColumnFormula>'Prev Edu Calculations'!M5</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4972A2-807E-4FAC-9B5E-6E4CF81A9D99}" name="YPS_Ranges" displayName="YPS_Ranges" ref="I14:O45" totalsRowShown="0" headerRowDxfId="100" dataDxfId="99">
  <tableColumns count="7">
    <tableColumn id="1" xr3:uid="{5ED8EF84-C697-4761-90A9-F85F0C727514}" name="Measure Type" dataDxfId="98"/>
    <tableColumn id="2" xr3:uid="{9BD77065-5E8F-4600-9598-66D9571A62CA}" name="Curriculum" dataDxfId="97"/>
    <tableColumn id="3" xr3:uid="{BFC292A8-C282-41C9-9456-989859B624F5}" name="Q1" dataDxfId="96">
      <calculatedColumnFormula>ROUND(YPS_Ranges[[#This Row],[Annual]]*0.333, 0)</calculatedColumnFormula>
    </tableColumn>
    <tableColumn id="4" xr3:uid="{A93DDC85-B688-4FFB-BF57-BA6DC149F9B7}" name="Q2" dataDxfId="95">
      <calculatedColumnFormula>ROUND(YPS_Ranges[[#This Row],[Annual]]*0.333, 0)</calculatedColumnFormula>
    </tableColumn>
    <tableColumn id="5" xr3:uid="{F1F8A279-F4A9-46E2-8D6C-B8DC7DE2BFDB}" name="Q3" dataDxfId="94">
      <calculatedColumnFormula>ROUND((YPS_Ranges[[#This Row],[Annual]])*(0.75*0.333), 0)</calculatedColumnFormula>
    </tableColumn>
    <tableColumn id="6" xr3:uid="{3B1B8CC2-5483-466F-B9FD-6DC95C613FD2}" name="Q4" dataDxfId="93">
      <calculatedColumnFormula>ROUND(YPS_Ranges[[#This Row],[Annual]]*(0.25*0.333), 0)</calculatedColumnFormula>
    </tableColumn>
    <tableColumn id="7" xr3:uid="{87B2CE7A-D486-4A68-9256-986572C97B7A}" name="Annual" dataDxfId="92">
      <calculatedColumnFormula array="1">ROUND(_xlfn.XLOOKUP(1, (Calculations_Edu[Prog Type]="YPS") * (Calculations_Edu[Curriculum]=YPS_Ranges[[#This Row],[Curriculum]]), Calculations_Edu[Annual Youth/FTE],0)*$B$2, 0)</calculatedColumnFormula>
    </tableColumn>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60A024D-11F1-4A39-944B-1F28758A7F2E}" name="YPI_Ranges" displayName="YPI_Ranges" ref="Q14:W37" totalsRowShown="0" headerRowDxfId="91" dataDxfId="90">
  <tableColumns count="7">
    <tableColumn id="1" xr3:uid="{F7384469-BF79-42B0-9BDA-13A7D33D744F}" name="Measure Type" dataDxfId="89"/>
    <tableColumn id="2" xr3:uid="{11196E33-1DA0-4A08-B73C-908ECC7C8CC8}" name="Curriculum" dataDxfId="88"/>
    <tableColumn id="3" xr3:uid="{BA6C4E46-F054-4D60-9B71-84358549B25B}" name="Q1" dataDxfId="87">
      <calculatedColumnFormula>ROUND(YPS_Ranges[[#This Row],[Annual]]*0.333, 0)</calculatedColumnFormula>
    </tableColumn>
    <tableColumn id="4" xr3:uid="{27685A0D-1C07-43C1-BAAF-B1831CC2D6FE}" name="Q2" dataDxfId="86">
      <calculatedColumnFormula>ROUND(YPS_Ranges[[#This Row],[Annual]]*0.333, 0)</calculatedColumnFormula>
    </tableColumn>
    <tableColumn id="5" xr3:uid="{072D2BDB-79B7-49A1-8D7C-A73458A70C6B}" name="Q3" dataDxfId="85">
      <calculatedColumnFormula>ROUND((YPS_Ranges[[#This Row],[Annual]])*(0.75*0.333), 0)</calculatedColumnFormula>
    </tableColumn>
    <tableColumn id="6" xr3:uid="{D4B176B9-62CF-4F28-B712-4565F062449E}" name="Q4" dataDxfId="84">
      <calculatedColumnFormula>ROUND(YPS_Ranges[[#This Row],[Annual]]*(0.25*0.333), 0)</calculatedColumnFormula>
    </tableColumn>
    <tableColumn id="7" xr3:uid="{15F8A4A6-BFA1-403B-9DB1-A3016F4A8648}" name="Annual" dataDxfId="83">
      <calculatedColumnFormula array="1">ROUND(_xlfn.XLOOKUP(1, (Calculations_Edu[Prog Type]="YPS") * (Calculations_Edu[Curriculum]=YPS_Ranges[[#This Row],[Curriculum]]), Calculations_Edu[Annual Youth/FTE],0)*$B$2, 0)</calculatedColumnFormula>
    </tableColumn>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BF1FC81-7194-4092-B7BA-A4F57E83A8D3}" name="Table4" displayName="Table4" ref="A3:G46" totalsRowShown="0" headerRowDxfId="82" dataDxfId="81">
  <tableColumns count="7">
    <tableColumn id="1" xr3:uid="{9A00E667-AF85-45E8-B507-2F24F55E0AA1}" name="Measure Type" dataDxfId="80"/>
    <tableColumn id="2" xr3:uid="{F6A573A4-8FF4-499E-87FC-FE035982A7E1}" name="Curriculum" dataDxfId="79"/>
    <tableColumn id="3" xr3:uid="{26AA0789-D46F-44E9-AD26-70BA5090AF03}" name="Q1" dataDxfId="78">
      <calculatedColumnFormula>MROUND(G4*0.33,5)</calculatedColumnFormula>
    </tableColumn>
    <tableColumn id="4" xr3:uid="{190D115B-FB98-4C5D-846D-4D340795BC92}" name="Q2" dataDxfId="77">
      <calculatedColumnFormula>MROUND(G4*0.33,5)</calculatedColumnFormula>
    </tableColumn>
    <tableColumn id="5" xr3:uid="{015DBD3A-290C-4E56-88B6-306BC6BEDE3D}" name="Q3" dataDxfId="76">
      <calculatedColumnFormula>MROUND(G4*0.17,5)</calculatedColumnFormula>
    </tableColumn>
    <tableColumn id="6" xr3:uid="{237C97F2-58D6-4D33-9926-D315DBF2802A}" name="Q4" dataDxfId="75">
      <calculatedColumnFormula>MROUND(G4*0.17,5)</calculatedColumnFormula>
    </tableColumn>
    <tableColumn id="7" xr3:uid="{64FA26BD-2351-4A1B-8776-67EF2737FC83}" name="Annual" dataDxfId="7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C23695-DF17-45B7-9055-68F02E1BDDDC}" name="Table5" displayName="Table5" ref="I3:O34" totalsRowShown="0" headerRowDxfId="73" dataDxfId="72">
  <tableColumns count="7">
    <tableColumn id="1" xr3:uid="{71EBCD72-1F05-4E60-85EA-3D4E6EC6F485}" name="Measure Type" dataDxfId="71"/>
    <tableColumn id="2" xr3:uid="{FA7524B5-BECA-4FCD-ABB9-9E6A41667726}" name="Curriculum" dataDxfId="70"/>
    <tableColumn id="3" xr3:uid="{4B6E0F05-EE24-4D92-AE82-238F02E1C086}" name="Q1" dataDxfId="69">
      <calculatedColumnFormula>MROUND(O4*0.33,5)</calculatedColumnFormula>
    </tableColumn>
    <tableColumn id="4" xr3:uid="{CF807AB2-4412-4EF4-86F7-1C66E8D1F36B}" name="Q2" dataDxfId="68">
      <calculatedColumnFormula>MROUND(O4*0.33,5)</calculatedColumnFormula>
    </tableColumn>
    <tableColumn id="5" xr3:uid="{87893CDE-4DE6-4B2A-BA2B-39EBA81C2820}" name="Q3" dataDxfId="67">
      <calculatedColumnFormula>MROUND(O4*0.17,5)</calculatedColumnFormula>
    </tableColumn>
    <tableColumn id="6" xr3:uid="{D18DB780-AB05-45B7-ABC8-205A3BCFE053}" name="Q4" dataDxfId="66">
      <calculatedColumnFormula>MROUND(O4*0.17,5)</calculatedColumnFormula>
    </tableColumn>
    <tableColumn id="7" xr3:uid="{94A67A59-F985-48DB-BC6D-8CFA0F4A2616}" name="Annual" dataDxfId="65"/>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BA93A4-D6EC-43BC-8EE2-B1EAEB98F6D4}" name="Table7" displayName="Table7" ref="Q3:W30" totalsRowShown="0" headerRowDxfId="64" dataDxfId="63">
  <tableColumns count="7">
    <tableColumn id="1" xr3:uid="{C501CDF0-12D2-42EA-BE8C-A11F1A7F4BE9}" name="Measure Type" dataDxfId="62"/>
    <tableColumn id="2" xr3:uid="{DBD431F9-3E0C-42B4-ADAD-A9607619EA0F}" name="Curriculum" dataDxfId="61"/>
    <tableColumn id="3" xr3:uid="{AF558E55-2E85-4E00-868D-86C9A3F86A2C}" name="Q1" dataDxfId="60">
      <calculatedColumnFormula>MROUND(W4*0.33,5)</calculatedColumnFormula>
    </tableColumn>
    <tableColumn id="4" xr3:uid="{DA862B9E-0B6F-44D5-8D10-0B8BCCA68D1F}" name="Q2" dataDxfId="59">
      <calculatedColumnFormula>MROUND(W4*0.33,5)</calculatedColumnFormula>
    </tableColumn>
    <tableColumn id="5" xr3:uid="{AB155F65-B4FB-471E-9499-06E5AFFF0D77}" name="Q3" dataDxfId="58">
      <calculatedColumnFormula>MROUND(W4*0.17,5)</calculatedColumnFormula>
    </tableColumn>
    <tableColumn id="6" xr3:uid="{CDF3D2EB-FB08-4917-9910-E8EAC765263E}" name="Q4" dataDxfId="57">
      <calculatedColumnFormula>MROUND(W4*0.17,5)</calculatedColumnFormula>
    </tableColumn>
    <tableColumn id="7" xr3:uid="{A4BA5114-4CEA-4712-BD72-917345380397}" name="Annual" dataDxfId="56"/>
  </tableColumns>
  <tableStyleInfo name="TableStyleMedium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2EDE3D-1CDB-4E92-BBEC-95210FE523AD}" name="Table1" displayName="Table1" ref="A2:M21" totalsRowShown="0" headerRowDxfId="55" dataDxfId="54">
  <tableColumns count="13">
    <tableColumn id="1" xr3:uid="{3C989321-68A0-49B1-B054-35B9EF9FEDBF}" name="Prog Type" dataDxfId="53"/>
    <tableColumn id="2" xr3:uid="{29A0ACC9-D4DB-4F71-91B6-B1F8D169456D}" name="Curriculum" dataDxfId="52"/>
    <tableColumn id="9" xr3:uid="{EEEB1E6E-E87E-4AA8-B206-A1AB2B0E8A91}" name="Average Time/Session in Minutes" dataDxfId="51"/>
    <tableColumn id="15" xr3:uid="{83506175-2C8D-4252-A6CF-EA62D092C745}" name="Average Sessions/Cycle" dataDxfId="50"/>
    <tableColumn id="3" xr3:uid="{CEB8B267-2A4C-47CF-A94E-B4043B0E6CFC}" name="Average Sess/Week" dataDxfId="49"/>
    <tableColumn id="16" xr3:uid="{20BF054A-B133-4E79-AF61-3E1390829E1B}" name="Average Cycle Completion in Weeks" dataDxfId="48"/>
    <tableColumn id="10" xr3:uid="{7108C4B8-F237-49FF-A204-46854E6986D3}" name="Ratio Other : Implementation" dataDxfId="47"/>
    <tableColumn id="11" xr3:uid="{8A665CD6-BF44-4DBA-AFF3-795D262DE1BC}" name="Average Concurrent Cycles" dataDxfId="46"/>
    <tableColumn id="12" xr3:uid="{1B0373D9-773C-41C2-9390-3F66B74B11A1}" name="Cycles /Year /FTE (33/F(rounded to whole #)xH(rounded to whole #)" dataDxfId="45"/>
    <tableColumn id="4" xr3:uid="{9C2F43A1-E530-4FA7-A645-8047166ED3FF}" name="Average Youth/Cycle" dataDxfId="44"/>
    <tableColumn id="5" xr3:uid="{481686CE-E0DD-43B8-BA2A-03EFB6BA1573}" name="Average Adult/Cycle" dataDxfId="43"/>
    <tableColumn id="14" xr3:uid="{0AE2FC79-402F-4A38-8D21-D6420B747E9E}" name="Youth /Year /FTE" dataDxfId="42"/>
    <tableColumn id="13" xr3:uid="{713ED306-023D-4455-BEA3-C54E244AE08D}" name="Adults /Year /FTE2" dataDxfId="4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93C65A0-3D94-44CD-A161-14469618C880}" name="Calculations_Edu" displayName="Calculations_Edu" ref="A5:M23" totalsRowShown="0" headerRowDxfId="40" dataDxfId="39">
  <autoFilter ref="A5:M23" xr:uid="{293C65A0-3D94-44CD-A161-14469618C880}"/>
  <tableColumns count="13">
    <tableColumn id="1" xr3:uid="{B3F4B973-AE64-4054-AE58-AA05B3A7DDEB}" name="Prog Type" dataDxfId="38"/>
    <tableColumn id="2" xr3:uid="{94AAD256-854E-463E-BF5B-A81F577E8D87}" name="Curriculum" dataDxfId="37"/>
    <tableColumn id="9" xr3:uid="{B34FA445-D11A-49D5-BFA5-17825548412D}" name="Average Time/Session in Hours" dataDxfId="36"/>
    <tableColumn id="15" xr3:uid="{C332C937-2D80-4743-829F-E81231EF244F}" name="Average Sessions/Cycle" dataDxfId="35"/>
    <tableColumn id="3" xr3:uid="{D5E8B65C-0DE5-43C1-9216-CF7AA64B9DEC}" name="Average Sess/Week" dataDxfId="34"/>
    <tableColumn id="16" xr3:uid="{D410E387-85B9-421D-8623-A27509A5973D}" name="Average Cycle Completion in Weeks" dataDxfId="33">
      <calculatedColumnFormula>Calculations_Edu[[#This Row],[Average Sessions/Cycle]]/Calculations_Edu[[#This Row],[Average Sess/Week]]</calculatedColumnFormula>
    </tableColumn>
    <tableColumn id="6" xr3:uid="{EE09067B-F619-45E2-8C74-38CEA57B5825}" name="Average Number of Total Cycles per Year (Round up)" dataDxfId="32">
      <calculatedColumnFormula>30/11</calculatedColumnFormula>
    </tableColumn>
    <tableColumn id="10" xr3:uid="{49D8269F-BD78-4248-B5BB-AF8543DD5D9A}" name="Ratio Other : Implementation" dataDxfId="31"/>
    <tableColumn id="11" xr3:uid="{05A9F93B-6547-4A69-8883-6FFFFA4E65B1}" name="Average Concurrent Cycles" dataDxfId="30"/>
    <tableColumn id="4" xr3:uid="{4E8E8B89-5031-4414-A6C3-CB366BF02048}" name="Average Youth/Cycle" dataDxfId="29"/>
    <tableColumn id="5" xr3:uid="{22C7C787-B46E-4560-9AD7-8E7D5537ED7C}" name="Average Adult/Cycle" dataDxfId="28"/>
    <tableColumn id="14" xr3:uid="{71DA0F2D-0FB0-41B4-AEA6-2EBB1D61670B}" name="Annual Youth/FTE" dataDxfId="27"/>
    <tableColumn id="13" xr3:uid="{5EB5A4FC-7876-4EB2-B72D-7663F35203E7}" name="Annual Adults/FTE" dataDxfId="2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242B43D-10B0-416F-BF47-E192114058F0}" name="TobComp" displayName="TobComp" ref="A1:J255" totalsRowShown="0" headerRowDxfId="25" dataDxfId="24">
  <autoFilter ref="A1:J255" xr:uid="{293C65A0-3D94-44CD-A161-14469618C880}"/>
  <sortState xmlns:xlrd2="http://schemas.microsoft.com/office/spreadsheetml/2017/richdata2" ref="A2:J255">
    <sortCondition descending="1" ref="H1:H255"/>
  </sortState>
  <tableColumns count="10">
    <tableColumn id="2" xr3:uid="{C1957442-41BC-4FF1-A96C-B8A154DEE50B}" name="Public Health Region" dataDxfId="23"/>
    <tableColumn id="9" xr3:uid="{8DA6471E-BB87-466D-8EEE-98CFA88F83AE}" name="Average Time/Session in Hours" dataDxfId="22"/>
    <tableColumn id="15" xr3:uid="{A81FFEA0-9CEA-4C4B-9E88-F788EFE614F0}" name="County Name" dataDxfId="21"/>
    <tableColumn id="3" xr3:uid="{4BA7A2E7-C001-4C09-A379-A0C8C8E8E7B7}" name="County Land Mass (mi^2)" dataDxfId="20"/>
    <tableColumn id="16" xr3:uid="{E8D9BAD1-4802-4169-9741-683E5793F6BB}" name="Number of Retailers in County" dataDxfId="19">
      <calculatedColumnFormula>TobComp[[#This Row],[County Name]]/TobComp[[#This Row],[County Land Mass (mi^2)]]</calculatedColumnFormula>
    </tableColumn>
    <tableColumn id="6" xr3:uid="{DDA13ECA-3C22-44C9-BEEC-37E3AB4C2A3B}" name="Retail Density of County" dataDxfId="18">
      <calculatedColumnFormula>TobComp[[#This Row],[Number of Retailers in County]]/TobComp[[#This Row],[County Land Mass (mi^2)]]</calculatedColumnFormula>
    </tableColumn>
    <tableColumn id="10" xr3:uid="{1AF2E3D8-6294-4484-B8B7-53B318FDCCB3}" name="Column4" dataDxfId="17"/>
    <tableColumn id="11" xr3:uid="{5847A493-47EB-4CDB-B09C-CBA79917CC60}" name="Density * 48/weeks" dataDxfId="16">
      <calculatedColumnFormula>TobComp[[#This Row],[Retail Density of County]]*48</calculatedColumnFormula>
    </tableColumn>
    <tableColumn id="4" xr3:uid="{A47DF774-497F-492B-A346-14545B6995FA}" name="Density*48 Tier #" dataDxfId="15">
      <calculatedColumnFormula>IF(TobComp[[#This Row],[Density * 48/weeks]] &lt;=0.5, 1, IF(TobComp[[#This Row],[Density * 48/weeks]] &lt;=2.5, 2, IF(TobComp[[#This Row],[Density * 48/weeks]] &lt;=40, 3, 4)))</calculatedColumnFormula>
    </tableColumn>
    <tableColumn id="5" xr3:uid="{A04F0E78-03D1-4603-976F-68817F9F45D7}" name="Est. Checks for County" dataDxfId="14">
      <calculatedColumnFormula>IF(TobComp[[#This Row],[Density * 48/weeks]] &lt;=0.5, $O$2, IF(TobComp[[#This Row],[Density * 48/weeks]] &lt;=2.5, $O$3, IF(TobComp[[#This Row],[Density * 48/weeks]] &lt;=40, $O$4, $O$5)))</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3B0E2F-86AA-4115-98A8-DA1D2271AF18}" name="Calculations_Other" displayName="Calculations_Other" ref="A1:L10" totalsRowShown="0" headerRowDxfId="13" dataDxfId="12">
  <autoFilter ref="A1:L10" xr:uid="{293C65A0-3D94-44CD-A161-14469618C880}"/>
  <tableColumns count="12">
    <tableColumn id="2" xr3:uid="{5E0A568A-3CCE-461A-BE95-18FE991E01B6}" name="Strategy " dataDxfId="11"/>
    <tableColumn id="9" xr3:uid="{08F32D16-F62A-4194-A66D-F9531E123F8C}" name="Average # per week" dataDxfId="10"/>
    <tableColumn id="15" xr3:uid="{042B0308-22CA-492A-BE89-3CDA41682CB6}" name="Average number of weeks" dataDxfId="9"/>
    <tableColumn id="3" xr3:uid="{8ADE9FA9-50C8-448B-A515-78A78D2FAD6B}" name="Youth In attendance" dataDxfId="8"/>
    <tableColumn id="16" xr3:uid="{25180687-74AC-4CAD-BDF7-D6C7697BAD12}" name="Adults in attendance" dataDxfId="7">
      <calculatedColumnFormula>Calculations_Other[[#This Row],[Average number of weeks]]/Calculations_Other[[#This Row],[Youth In attendance]]</calculatedColumnFormula>
    </tableColumn>
    <tableColumn id="7" xr3:uid="{75551D00-94EC-42CC-844D-56069B1FDD0E}" name="Total # of activities" dataDxfId="6">
      <calculatedColumnFormula>Calculations_Other[[#This Row],[Average '# per week]]*Calculations_Other[[#This Row],[Average number of weeks]]</calculatedColumnFormula>
    </tableColumn>
    <tableColumn id="6" xr3:uid="{56AD2803-0627-4021-906D-96C79BF1AD13}" name=" Total Youth " dataDxfId="5">
      <calculatedColumnFormula>Calculations_Other[[#This Row],[Average '# per week]]*Calculations_Other[[#This Row],[Average number of weeks]]*Calculations_Other[[#This Row],[Youth In attendance]]</calculatedColumnFormula>
    </tableColumn>
    <tableColumn id="10" xr3:uid="{E17DF3C4-8B2D-45BB-B86B-317D4948CEC0}" name="Column11" dataDxfId="4"/>
    <tableColumn id="11" xr3:uid="{DEE925B0-4E70-4E1A-B2EE-6A87201E8937}" name="Total Adults" dataDxfId="3">
      <calculatedColumnFormula>Calculations_Other[[#This Row],[Average '# per week]]*Calculations_Other[[#This Row],[Average number of weeks]]*Calculations_Other[[#This Row],[Adults in attendance]]</calculatedColumnFormula>
    </tableColumn>
    <tableColumn id="14" xr3:uid="{0938D04F-0141-42C8-946D-4C170B0038C7}" name="Column6" dataDxfId="2"/>
    <tableColumn id="13" xr3:uid="{B12613FA-4BBA-4670-B038-2C100CF12837}" name="Column7" dataDxfId="1"/>
    <tableColumn id="1" xr3:uid="{ECF7F177-3957-4B80-8D0A-125988055099}" name="Column7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AB5A3-4525-475B-937D-39822130F898}">
  <dimension ref="A1:K18"/>
  <sheetViews>
    <sheetView tabSelected="1" topLeftCell="A2" zoomScale="110" zoomScaleNormal="110" workbookViewId="0">
      <selection activeCell="M5" sqref="M5"/>
    </sheetView>
  </sheetViews>
  <sheetFormatPr defaultRowHeight="15" x14ac:dyDescent="0.2"/>
  <cols>
    <col min="1" max="1" width="11.5" style="23" customWidth="1"/>
    <col min="11" max="11" width="17.5" customWidth="1"/>
  </cols>
  <sheetData>
    <row r="1" spans="1:11" ht="19.5" thickBot="1" x14ac:dyDescent="0.35">
      <c r="A1" s="144"/>
      <c r="B1" s="145"/>
      <c r="C1" s="145"/>
      <c r="D1" s="145"/>
      <c r="E1" s="145"/>
      <c r="F1" s="145"/>
      <c r="G1" s="145"/>
      <c r="H1" s="145"/>
      <c r="I1" s="145"/>
      <c r="J1" s="145"/>
      <c r="K1" s="146"/>
    </row>
    <row r="2" spans="1:11" ht="73.5" customHeight="1" thickBot="1" x14ac:dyDescent="0.25">
      <c r="A2" s="114" t="s">
        <v>0</v>
      </c>
      <c r="B2" s="149" t="s">
        <v>1</v>
      </c>
      <c r="C2" s="150"/>
      <c r="D2" s="150"/>
      <c r="E2" s="150"/>
      <c r="F2" s="150"/>
      <c r="G2" s="150"/>
      <c r="H2" s="150"/>
      <c r="I2" s="150"/>
      <c r="J2" s="150"/>
      <c r="K2" s="150"/>
    </row>
    <row r="3" spans="1:11" ht="90.95" customHeight="1" thickBot="1" x14ac:dyDescent="0.25">
      <c r="A3" s="115" t="s">
        <v>2</v>
      </c>
      <c r="B3" s="148" t="s">
        <v>3</v>
      </c>
      <c r="C3" s="148"/>
      <c r="D3" s="148"/>
      <c r="E3" s="148"/>
      <c r="F3" s="148"/>
      <c r="G3" s="148"/>
      <c r="H3" s="148"/>
      <c r="I3" s="148"/>
      <c r="J3" s="148"/>
      <c r="K3" s="148"/>
    </row>
    <row r="4" spans="1:11" ht="63" customHeight="1" thickBot="1" x14ac:dyDescent="0.25">
      <c r="A4" s="115" t="s">
        <v>4</v>
      </c>
      <c r="B4" s="147" t="s">
        <v>5</v>
      </c>
      <c r="C4" s="147"/>
      <c r="D4" s="147"/>
      <c r="E4" s="147"/>
      <c r="F4" s="147"/>
      <c r="G4" s="147"/>
      <c r="H4" s="147"/>
      <c r="I4" s="147"/>
      <c r="J4" s="147"/>
      <c r="K4" s="147"/>
    </row>
    <row r="5" spans="1:11" ht="157.5" customHeight="1" x14ac:dyDescent="0.2">
      <c r="A5" s="115" t="s">
        <v>6</v>
      </c>
      <c r="B5" s="151" t="s">
        <v>7</v>
      </c>
      <c r="C5" s="147"/>
      <c r="D5" s="147"/>
      <c r="E5" s="147"/>
      <c r="F5" s="147"/>
      <c r="G5" s="147"/>
      <c r="H5" s="147"/>
      <c r="I5" s="147"/>
      <c r="J5" s="147"/>
      <c r="K5" s="147"/>
    </row>
    <row r="6" spans="1:11" ht="83.25" customHeight="1" thickBot="1" x14ac:dyDescent="0.25">
      <c r="A6" s="115" t="s">
        <v>8</v>
      </c>
      <c r="B6" s="147" t="s">
        <v>9</v>
      </c>
      <c r="C6" s="147"/>
      <c r="D6" s="147"/>
      <c r="E6" s="147"/>
      <c r="F6" s="147"/>
      <c r="G6" s="147"/>
      <c r="H6" s="147"/>
      <c r="I6" s="147"/>
      <c r="J6" s="147"/>
      <c r="K6" s="147"/>
    </row>
    <row r="7" spans="1:11" ht="66.75" customHeight="1" thickBot="1" x14ac:dyDescent="0.25">
      <c r="A7" s="115" t="s">
        <v>10</v>
      </c>
      <c r="B7" s="147" t="s">
        <v>11</v>
      </c>
      <c r="C7" s="147"/>
      <c r="D7" s="147"/>
      <c r="E7" s="147"/>
      <c r="F7" s="147"/>
      <c r="G7" s="147"/>
      <c r="H7" s="147"/>
      <c r="I7" s="147"/>
      <c r="J7" s="147"/>
      <c r="K7" s="147"/>
    </row>
    <row r="8" spans="1:11" ht="14.85" customHeight="1" thickBot="1" x14ac:dyDescent="0.25">
      <c r="A8" s="161" t="s">
        <v>12</v>
      </c>
      <c r="B8" s="162" t="s">
        <v>13</v>
      </c>
      <c r="C8" s="163"/>
      <c r="D8" s="163"/>
      <c r="E8" s="163"/>
      <c r="F8" s="163"/>
      <c r="G8" s="163"/>
      <c r="H8" s="163"/>
      <c r="I8" s="163"/>
      <c r="J8" s="163"/>
      <c r="K8" s="164"/>
    </row>
    <row r="9" spans="1:11" ht="14.85" customHeight="1" thickBot="1" x14ac:dyDescent="0.25">
      <c r="A9" s="161"/>
      <c r="B9" s="152"/>
      <c r="C9" s="153"/>
      <c r="D9" s="153"/>
      <c r="E9" s="153"/>
      <c r="F9" s="153"/>
      <c r="G9" s="153"/>
      <c r="H9" s="153"/>
      <c r="I9" s="153"/>
      <c r="J9" s="153"/>
      <c r="K9" s="154"/>
    </row>
    <row r="10" spans="1:11" ht="23.1" customHeight="1" thickBot="1" x14ac:dyDescent="0.25">
      <c r="A10" s="161"/>
      <c r="B10" s="152"/>
      <c r="C10" s="153"/>
      <c r="D10" s="153"/>
      <c r="E10" s="153"/>
      <c r="F10" s="153"/>
      <c r="G10" s="153"/>
      <c r="H10" s="153"/>
      <c r="I10" s="153"/>
      <c r="J10" s="153"/>
      <c r="K10" s="154"/>
    </row>
    <row r="11" spans="1:11" ht="30.6" customHeight="1" thickBot="1" x14ac:dyDescent="0.25">
      <c r="A11" s="161"/>
      <c r="B11" s="158" t="s">
        <v>14</v>
      </c>
      <c r="C11" s="159"/>
      <c r="D11" s="159"/>
      <c r="E11" s="159"/>
      <c r="F11" s="159"/>
      <c r="G11" s="159"/>
      <c r="H11" s="159"/>
      <c r="I11" s="159"/>
      <c r="J11" s="159"/>
      <c r="K11" s="160"/>
    </row>
    <row r="12" spans="1:11" ht="21.6" customHeight="1" thickBot="1" x14ac:dyDescent="0.25">
      <c r="A12" s="161"/>
      <c r="B12" s="158" t="s">
        <v>15</v>
      </c>
      <c r="C12" s="159"/>
      <c r="D12" s="159"/>
      <c r="E12" s="159"/>
      <c r="F12" s="159"/>
      <c r="G12" s="159"/>
      <c r="H12" s="159"/>
      <c r="I12" s="159"/>
      <c r="J12" s="159"/>
      <c r="K12" s="160"/>
    </row>
    <row r="13" spans="1:11" ht="14.65" customHeight="1" thickBot="1" x14ac:dyDescent="0.25">
      <c r="A13" s="161"/>
      <c r="B13" s="152" t="s">
        <v>16</v>
      </c>
      <c r="C13" s="153"/>
      <c r="D13" s="153"/>
      <c r="E13" s="153"/>
      <c r="F13" s="153"/>
      <c r="G13" s="153"/>
      <c r="H13" s="153"/>
      <c r="I13" s="153"/>
      <c r="J13" s="153"/>
      <c r="K13" s="154"/>
    </row>
    <row r="14" spans="1:11" ht="14.85" customHeight="1" thickBot="1" x14ac:dyDescent="0.25">
      <c r="A14" s="161"/>
      <c r="B14" s="152"/>
      <c r="C14" s="153"/>
      <c r="D14" s="153"/>
      <c r="E14" s="153"/>
      <c r="F14" s="153"/>
      <c r="G14" s="153"/>
      <c r="H14" s="153"/>
      <c r="I14" s="153"/>
      <c r="J14" s="153"/>
      <c r="K14" s="154"/>
    </row>
    <row r="15" spans="1:11" ht="15" customHeight="1" thickBot="1" x14ac:dyDescent="0.25">
      <c r="A15" s="161"/>
      <c r="B15" s="152" t="s">
        <v>17</v>
      </c>
      <c r="C15" s="153"/>
      <c r="D15" s="153"/>
      <c r="E15" s="153"/>
      <c r="F15" s="153"/>
      <c r="G15" s="153"/>
      <c r="H15" s="153"/>
      <c r="I15" s="153"/>
      <c r="J15" s="153"/>
      <c r="K15" s="154"/>
    </row>
    <row r="16" spans="1:11" ht="24.6" customHeight="1" thickBot="1" x14ac:dyDescent="0.25">
      <c r="A16" s="161"/>
      <c r="B16" s="152"/>
      <c r="C16" s="153"/>
      <c r="D16" s="153"/>
      <c r="E16" s="153"/>
      <c r="F16" s="153"/>
      <c r="G16" s="153"/>
      <c r="H16" s="153"/>
      <c r="I16" s="153"/>
      <c r="J16" s="153"/>
      <c r="K16" s="154"/>
    </row>
    <row r="17" spans="1:11" ht="15" customHeight="1" thickBot="1" x14ac:dyDescent="0.25">
      <c r="A17" s="161"/>
      <c r="B17" s="152" t="s">
        <v>18</v>
      </c>
      <c r="C17" s="153"/>
      <c r="D17" s="153"/>
      <c r="E17" s="153"/>
      <c r="F17" s="153"/>
      <c r="G17" s="153"/>
      <c r="H17" s="153"/>
      <c r="I17" s="153"/>
      <c r="J17" s="153"/>
      <c r="K17" s="154"/>
    </row>
    <row r="18" spans="1:11" ht="5.45" customHeight="1" thickBot="1" x14ac:dyDescent="0.25">
      <c r="A18" s="161"/>
      <c r="B18" s="155"/>
      <c r="C18" s="156"/>
      <c r="D18" s="156"/>
      <c r="E18" s="156"/>
      <c r="F18" s="156"/>
      <c r="G18" s="156"/>
      <c r="H18" s="156"/>
      <c r="I18" s="156"/>
      <c r="J18" s="156"/>
      <c r="K18" s="157"/>
    </row>
  </sheetData>
  <sheetProtection algorithmName="SHA-512" hashValue="RxlIO4QmtrK5MeXiEt2Ew/f3awlfqlQQKhvy9pxPPo+dTzzAVPM20vsgI9IzVFhgd1TPsr3uHc3K48Ctxt/JpA==" saltValue="veqKf/GBMcLt65fWeYXTTw==" spinCount="100000" sheet="1" objects="1" scenarios="1"/>
  <mergeCells count="14">
    <mergeCell ref="B17:K18"/>
    <mergeCell ref="B11:K11"/>
    <mergeCell ref="B13:K14"/>
    <mergeCell ref="B15:K16"/>
    <mergeCell ref="A8:A18"/>
    <mergeCell ref="B12:K12"/>
    <mergeCell ref="B8:K10"/>
    <mergeCell ref="A1:K1"/>
    <mergeCell ref="B6:K6"/>
    <mergeCell ref="B3:K3"/>
    <mergeCell ref="B2:K2"/>
    <mergeCell ref="B7:K7"/>
    <mergeCell ref="B4:K4"/>
    <mergeCell ref="B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2A8B8-D96F-4269-B3F6-87B159C54D26}">
  <dimension ref="A1:Y101"/>
  <sheetViews>
    <sheetView workbookViewId="0">
      <selection activeCell="C13" sqref="C13:C14"/>
    </sheetView>
  </sheetViews>
  <sheetFormatPr defaultRowHeight="15" x14ac:dyDescent="0.2"/>
  <cols>
    <col min="3" max="3" width="11.3984375" customWidth="1"/>
    <col min="4" max="4" width="31.69921875" customWidth="1"/>
    <col min="20" max="20" width="11.59765625" customWidth="1"/>
  </cols>
  <sheetData>
    <row r="1" spans="1:25" x14ac:dyDescent="0.2">
      <c r="A1" s="165" t="s">
        <v>19</v>
      </c>
      <c r="B1" s="165"/>
      <c r="C1" s="165"/>
      <c r="D1" s="165"/>
      <c r="E1" s="165"/>
      <c r="F1" s="165"/>
      <c r="G1" s="165"/>
      <c r="H1" s="165"/>
      <c r="I1" s="165"/>
      <c r="J1" s="165"/>
      <c r="K1" s="165"/>
      <c r="L1" s="143"/>
    </row>
    <row r="2" spans="1:25" x14ac:dyDescent="0.2">
      <c r="A2" s="165" t="s">
        <v>20</v>
      </c>
      <c r="B2" s="165"/>
      <c r="C2" s="165"/>
      <c r="D2" s="165"/>
      <c r="E2" s="165"/>
      <c r="F2" s="165"/>
      <c r="G2" s="165"/>
      <c r="H2" s="165"/>
      <c r="I2" s="165"/>
      <c r="J2" s="165"/>
      <c r="K2" s="165"/>
      <c r="L2" s="143"/>
    </row>
    <row r="3" spans="1:25" x14ac:dyDescent="0.2">
      <c r="A3" s="165" t="s">
        <v>21</v>
      </c>
      <c r="B3" s="165"/>
      <c r="C3" s="165"/>
      <c r="D3" s="165"/>
      <c r="E3" s="165"/>
      <c r="F3" s="165"/>
      <c r="G3" s="165"/>
      <c r="H3" s="165"/>
      <c r="I3" s="165"/>
      <c r="J3" s="165"/>
      <c r="K3" s="165"/>
      <c r="L3" s="165"/>
    </row>
    <row r="4" spans="1:25" x14ac:dyDescent="0.2">
      <c r="A4" s="248" t="s">
        <v>22</v>
      </c>
      <c r="B4" s="249"/>
      <c r="C4" s="189"/>
      <c r="D4" s="189"/>
      <c r="E4" s="189"/>
      <c r="F4" s="189"/>
      <c r="G4" s="189"/>
      <c r="H4" s="189"/>
      <c r="I4" s="189"/>
      <c r="J4" s="189"/>
      <c r="K4" s="189"/>
      <c r="L4" s="189"/>
      <c r="M4" s="189"/>
      <c r="N4" s="189"/>
      <c r="O4" s="189"/>
      <c r="P4" s="189"/>
      <c r="Q4" s="189"/>
      <c r="R4" s="189"/>
      <c r="S4" s="189"/>
      <c r="T4" s="189"/>
      <c r="U4" s="189"/>
      <c r="V4" s="189"/>
      <c r="W4" s="189"/>
      <c r="X4" s="189"/>
      <c r="Y4" s="189"/>
    </row>
    <row r="5" spans="1:25" x14ac:dyDescent="0.2">
      <c r="A5" s="246" t="s">
        <v>23</v>
      </c>
      <c r="B5" s="247"/>
      <c r="C5" s="189"/>
      <c r="D5" s="189"/>
      <c r="E5" s="189"/>
      <c r="F5" s="189"/>
      <c r="G5" s="189"/>
      <c r="H5" s="189"/>
      <c r="I5" s="189"/>
      <c r="J5" s="189"/>
      <c r="K5" s="189"/>
      <c r="L5" s="189"/>
      <c r="M5" s="189"/>
      <c r="N5" s="189"/>
      <c r="O5" s="189"/>
      <c r="P5" s="189"/>
      <c r="Q5" s="189"/>
      <c r="R5" s="189"/>
      <c r="S5" s="189"/>
      <c r="T5" s="189"/>
      <c r="U5" s="189"/>
      <c r="V5" s="189"/>
      <c r="W5" s="189"/>
      <c r="X5" s="189"/>
      <c r="Y5" s="189"/>
    </row>
    <row r="6" spans="1:25" x14ac:dyDescent="0.2">
      <c r="A6" s="244" t="s">
        <v>24</v>
      </c>
      <c r="B6" s="245"/>
      <c r="C6" s="189"/>
      <c r="D6" s="189"/>
      <c r="E6" s="189"/>
      <c r="F6" s="189"/>
      <c r="G6" s="189"/>
      <c r="H6" s="189"/>
      <c r="I6" s="189"/>
      <c r="J6" s="189"/>
      <c r="K6" s="189"/>
      <c r="L6" s="189"/>
      <c r="M6" s="189"/>
      <c r="N6" s="189"/>
      <c r="O6" s="189"/>
      <c r="P6" s="189"/>
      <c r="Q6" s="189"/>
      <c r="R6" s="189"/>
      <c r="S6" s="189"/>
      <c r="T6" s="189"/>
      <c r="U6" s="189"/>
      <c r="V6" s="189"/>
      <c r="W6" s="189"/>
      <c r="X6" s="189"/>
      <c r="Y6" s="189"/>
    </row>
    <row r="7" spans="1:25" ht="15.75" x14ac:dyDescent="0.25">
      <c r="A7" s="252" t="s">
        <v>25</v>
      </c>
      <c r="B7" s="253"/>
      <c r="C7" s="254"/>
      <c r="D7" s="100" t="s">
        <v>26</v>
      </c>
      <c r="E7" s="181" t="s">
        <v>27</v>
      </c>
      <c r="F7" s="181"/>
      <c r="G7" s="181"/>
      <c r="H7" s="181"/>
      <c r="I7" s="181"/>
      <c r="J7" s="182" t="s">
        <v>28</v>
      </c>
      <c r="K7" s="183"/>
      <c r="L7" s="183"/>
      <c r="M7" s="183"/>
      <c r="N7" s="183"/>
      <c r="O7" s="255"/>
      <c r="P7" s="256"/>
      <c r="Q7" s="256"/>
      <c r="R7" s="256"/>
      <c r="S7" s="256"/>
      <c r="T7" s="257"/>
      <c r="U7" s="182" t="s">
        <v>29</v>
      </c>
      <c r="V7" s="183"/>
      <c r="W7" s="183"/>
      <c r="X7" s="183"/>
      <c r="Y7" s="183"/>
    </row>
    <row r="8" spans="1:25" ht="14.65" customHeight="1" x14ac:dyDescent="0.2">
      <c r="A8" s="166">
        <v>0</v>
      </c>
      <c r="B8" s="166"/>
      <c r="C8" s="166"/>
      <c r="D8" s="250">
        <f>ROUND(A8/25,0)</f>
        <v>0</v>
      </c>
      <c r="E8" s="251">
        <f>SUM($I$26, $I$27, $I$44,$I$45, $I$62, $I$63,$I$71,$I$75,$I$83,$I$87)</f>
        <v>0</v>
      </c>
      <c r="F8" s="251"/>
      <c r="G8" s="251"/>
      <c r="H8" s="251"/>
      <c r="I8" s="251"/>
      <c r="J8" s="250">
        <f>SUM(N26:N27,N44:N45,N62:N63,N71,N75,N83,N87)</f>
        <v>0</v>
      </c>
      <c r="K8" s="250"/>
      <c r="L8" s="250"/>
      <c r="M8" s="250"/>
      <c r="N8" s="250"/>
      <c r="O8" s="258"/>
      <c r="P8" s="259"/>
      <c r="Q8" s="259"/>
      <c r="R8" s="259"/>
      <c r="S8" s="259"/>
      <c r="T8" s="260"/>
      <c r="U8" s="250">
        <f>SUM(Y26:Y27,Y44:Y45,Y62:Y63,Y71,Y75,Y83,Y87)</f>
        <v>0</v>
      </c>
      <c r="V8" s="250"/>
      <c r="W8" s="250"/>
      <c r="X8" s="250"/>
      <c r="Y8" s="250"/>
    </row>
    <row r="9" spans="1:25" x14ac:dyDescent="0.2">
      <c r="A9" s="166"/>
      <c r="B9" s="166"/>
      <c r="C9" s="166"/>
      <c r="D9" s="250"/>
      <c r="E9" s="251"/>
      <c r="F9" s="251"/>
      <c r="G9" s="251"/>
      <c r="H9" s="251"/>
      <c r="I9" s="251"/>
      <c r="J9" s="250"/>
      <c r="K9" s="250"/>
      <c r="L9" s="250"/>
      <c r="M9" s="250"/>
      <c r="N9" s="250"/>
      <c r="O9" s="261"/>
      <c r="P9" s="262"/>
      <c r="Q9" s="262"/>
      <c r="R9" s="262"/>
      <c r="S9" s="262"/>
      <c r="T9" s="263"/>
      <c r="U9" s="250"/>
      <c r="V9" s="250"/>
      <c r="W9" s="250"/>
      <c r="X9" s="250"/>
      <c r="Y9" s="250"/>
    </row>
    <row r="10" spans="1:25" ht="15.75" x14ac:dyDescent="0.2">
      <c r="A10" s="241" t="s">
        <v>30</v>
      </c>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row>
    <row r="11" spans="1:25" ht="15.75" x14ac:dyDescent="0.2">
      <c r="A11" s="242" t="s">
        <v>31</v>
      </c>
      <c r="B11" s="243"/>
      <c r="C11" s="179" t="s">
        <v>32</v>
      </c>
      <c r="D11" s="243" t="s">
        <v>33</v>
      </c>
      <c r="E11" s="181" t="s">
        <v>34</v>
      </c>
      <c r="F11" s="181"/>
      <c r="G11" s="181"/>
      <c r="H11" s="181"/>
      <c r="I11" s="181"/>
      <c r="J11" s="182" t="s">
        <v>35</v>
      </c>
      <c r="K11" s="183"/>
      <c r="L11" s="183"/>
      <c r="M11" s="183"/>
      <c r="N11" s="183"/>
      <c r="O11" s="182" t="s">
        <v>36</v>
      </c>
      <c r="P11" s="183"/>
      <c r="Q11" s="183"/>
      <c r="R11" s="183"/>
      <c r="S11" s="183"/>
      <c r="T11" s="184"/>
      <c r="U11" s="215" t="s">
        <v>37</v>
      </c>
      <c r="V11" s="216"/>
      <c r="W11" s="216"/>
      <c r="X11" s="216"/>
      <c r="Y11" s="216"/>
    </row>
    <row r="12" spans="1:25" ht="15.75" x14ac:dyDescent="0.2">
      <c r="A12" s="175"/>
      <c r="B12" s="176"/>
      <c r="C12" s="180"/>
      <c r="D12" s="176"/>
      <c r="E12" s="34" t="s">
        <v>38</v>
      </c>
      <c r="F12" s="34" t="s">
        <v>39</v>
      </c>
      <c r="G12" s="34" t="s">
        <v>40</v>
      </c>
      <c r="H12" s="34" t="s">
        <v>41</v>
      </c>
      <c r="I12" s="34" t="s">
        <v>42</v>
      </c>
      <c r="J12" s="35" t="s">
        <v>38</v>
      </c>
      <c r="K12" s="35" t="s">
        <v>39</v>
      </c>
      <c r="L12" s="35" t="s">
        <v>40</v>
      </c>
      <c r="M12" s="35" t="s">
        <v>41</v>
      </c>
      <c r="N12" s="35" t="s">
        <v>42</v>
      </c>
      <c r="O12" s="185" t="s">
        <v>43</v>
      </c>
      <c r="P12" s="186"/>
      <c r="Q12" s="186"/>
      <c r="R12" s="186"/>
      <c r="S12" s="186"/>
      <c r="T12" s="187"/>
      <c r="U12" s="36" t="s">
        <v>38</v>
      </c>
      <c r="V12" s="36" t="s">
        <v>39</v>
      </c>
      <c r="W12" s="36" t="s">
        <v>40</v>
      </c>
      <c r="X12" s="36" t="s">
        <v>41</v>
      </c>
      <c r="Y12" s="36" t="s">
        <v>42</v>
      </c>
    </row>
    <row r="13" spans="1:25" ht="60.75" x14ac:dyDescent="0.2">
      <c r="A13" s="167"/>
      <c r="B13" s="217"/>
      <c r="C13" s="189"/>
      <c r="D13" s="37" t="s">
        <v>44</v>
      </c>
      <c r="E13" s="38" cm="1">
        <f t="array" ref="E13">ROUND(_xlfn.XLOOKUP(1, (YPU_Ranges[Curriculum]=YPU_1) * (YPU_Ranges[Measure Type]="Adults Baseline"), YPU_Ranges[Q1],0)*$C$13,0)</f>
        <v>0</v>
      </c>
      <c r="F13" s="38" cm="1">
        <f t="array" ref="F13">ROUND(_xlfn.XLOOKUP(1, (YPU_Ranges[Curriculum]=YPU_1) * (YPU_Ranges[Measure Type]="Adults Baseline"), YPU_Ranges[Q2],0)*$C$13,0)</f>
        <v>0</v>
      </c>
      <c r="G13" s="38" cm="1">
        <f t="array" ref="G13">ROUND(_xlfn.XLOOKUP(1, (YPU_Ranges[Curriculum]=YPU_1) * (YPU_Ranges[Measure Type]="Adults Baseline"), YPU_Ranges[Q3],0)*$C$13,0)</f>
        <v>0</v>
      </c>
      <c r="H13" s="38" cm="1">
        <f t="array" ref="H13">IF(SUM($E13+$F13+$G13) + ROUND(_xlfn.XLOOKUP(1, (YPU_Ranges[Curriculum]=YPU_1) * (YPU_Ranges[Measure Type]="Adults Baseline"), YPU_Ranges[Q4],0)*$C$13,0) &lt;&gt;$I13, $I13-SUM($E13:$G13), ROUND(_xlfn.XLOOKUP(1, (YPU_Ranges[Curriculum]=YPU_1) * (YPU_Ranges[Measure Type]="Adults Baseline"), YPU_Ranges[Q4],0)*$C$13,0))</f>
        <v>0</v>
      </c>
      <c r="I13" s="38" cm="1">
        <f t="array" ref="I13">ROUND(_xlfn.XLOOKUP(1, (YPU_Ranges[Curriculum]=YPU_1) * (YPU_Ranges[Measure Type]="Adults Baseline"), YPU_Ranges[Annual],0)*$C$13,0)</f>
        <v>0</v>
      </c>
      <c r="J13" s="92">
        <f>ROUND($N13*0.333, 0)</f>
        <v>0</v>
      </c>
      <c r="K13" s="92">
        <f>ROUND($N13*0.333, 0)</f>
        <v>0</v>
      </c>
      <c r="L13" s="92">
        <f>ROUND($N13*(0.75*0.334), 0)</f>
        <v>0</v>
      </c>
      <c r="M13" s="92">
        <f>IF(ROUND($N13*(0.25*0.334), 0)+SUM($J13:$L13)&lt;&gt;$N13, $N13-SUM($J13:L13), ROUND($N13*(0.25*0.334),0))</f>
        <v>0</v>
      </c>
      <c r="N13" s="92">
        <f>I13</f>
        <v>0</v>
      </c>
      <c r="O13" s="173"/>
      <c r="P13" s="173"/>
      <c r="Q13" s="173"/>
      <c r="R13" s="173"/>
      <c r="S13" s="173"/>
      <c r="T13" s="174"/>
      <c r="U13" s="86">
        <v>0</v>
      </c>
      <c r="V13" s="86">
        <v>0</v>
      </c>
      <c r="W13" s="86">
        <v>0</v>
      </c>
      <c r="X13" s="86">
        <v>0</v>
      </c>
      <c r="Y13" s="86">
        <v>0</v>
      </c>
    </row>
    <row r="14" spans="1:25" ht="45.75" x14ac:dyDescent="0.2">
      <c r="A14" s="169"/>
      <c r="B14" s="219"/>
      <c r="C14" s="189"/>
      <c r="D14" s="83" t="s">
        <v>45</v>
      </c>
      <c r="E14" s="38" cm="1">
        <f t="array" ref="E14">ROUND(_xlfn.XLOOKUP(1, (YPU_Ranges[Curriculum]=YPU_1) * (YPU_Ranges[Measure Type]="Youth Baseline"), YPU_Ranges[Q1],0)*$C$13,0)</f>
        <v>0</v>
      </c>
      <c r="F14" s="38" cm="1">
        <f t="array" ref="F14">ROUND(_xlfn.XLOOKUP(1, (YPU_Ranges[Curriculum]=YPU_1) * (YPU_Ranges[Measure Type]="Youth Baseline"), YPU_Ranges[Q2],0)*$C$13,0)</f>
        <v>0</v>
      </c>
      <c r="G14" s="38" cm="1">
        <f t="array" ref="G14">ROUND(_xlfn.XLOOKUP(1, (YPU_Ranges[Curriculum]=YPU_1) * (YPU_Ranges[Measure Type]="Youth Baseline"), YPU_Ranges[Q3],0)*$C$13,0)</f>
        <v>0</v>
      </c>
      <c r="H14" s="38" cm="1">
        <f t="array" ref="H14">IF(SUM($E14:$G14)+ROUND(_xlfn.XLOOKUP(1, (YPU_Ranges[Curriculum]=YPU_1) * (YPU_Ranges[Measure Type]="Youth Baseline"), YPU_Ranges[Q4],0)*$C$13,0)&lt;&gt;$I14, $I14-SUM($E14:$G14), ROUND(_xlfn.XLOOKUP(1, (YPU_Ranges[Curriculum]=YPU_1) * (YPU_Ranges[Measure Type]="Youth Baseline"), YPU_Ranges[Q4],0)*$C$13,0))</f>
        <v>0</v>
      </c>
      <c r="I14" s="38" cm="1">
        <f t="array" ref="I14">ROUND(_xlfn.XLOOKUP(1, (YPU_Ranges[Curriculum]=YPU_1) * (YPU_Ranges[Measure Type]="Youth Baseline"), YPU_Ranges[Annual],0)*$C$13,0)</f>
        <v>0</v>
      </c>
      <c r="J14" s="92">
        <f>ROUND($N14*0.333, 0)</f>
        <v>0</v>
      </c>
      <c r="K14" s="92">
        <f>ROUND($N14*0.333, 0)</f>
        <v>0</v>
      </c>
      <c r="L14" s="92">
        <f>ROUND($N14*(0.75*0.334), 0)</f>
        <v>0</v>
      </c>
      <c r="M14" s="92">
        <f>IF(ROUND($N14*(0.25*0.334), 0)+SUM($J14:$L14)&lt;&gt;$N14, $N14-SUM($J14:L14), ROUND($N14*(0.25*0.334),0))</f>
        <v>0</v>
      </c>
      <c r="N14" s="92">
        <f>I14</f>
        <v>0</v>
      </c>
      <c r="O14" s="173"/>
      <c r="P14" s="173"/>
      <c r="Q14" s="173"/>
      <c r="R14" s="173"/>
      <c r="S14" s="173"/>
      <c r="T14" s="174"/>
      <c r="U14" s="86">
        <v>0</v>
      </c>
      <c r="V14" s="86">
        <v>0</v>
      </c>
      <c r="W14" s="86">
        <v>0</v>
      </c>
      <c r="X14" s="86">
        <v>0</v>
      </c>
      <c r="Y14" s="86">
        <v>0</v>
      </c>
    </row>
    <row r="15" spans="1:25" ht="15.75" x14ac:dyDescent="0.2">
      <c r="A15" s="175" t="s">
        <v>46</v>
      </c>
      <c r="B15" s="176"/>
      <c r="C15" s="179" t="s">
        <v>32</v>
      </c>
      <c r="D15" s="176" t="s">
        <v>33</v>
      </c>
      <c r="E15" s="181" t="s">
        <v>34</v>
      </c>
      <c r="F15" s="181"/>
      <c r="G15" s="181"/>
      <c r="H15" s="181"/>
      <c r="I15" s="181"/>
      <c r="J15" s="182" t="s">
        <v>35</v>
      </c>
      <c r="K15" s="183"/>
      <c r="L15" s="183"/>
      <c r="M15" s="183"/>
      <c r="N15" s="183"/>
      <c r="O15" s="182" t="s">
        <v>36</v>
      </c>
      <c r="P15" s="183"/>
      <c r="Q15" s="183"/>
      <c r="R15" s="183"/>
      <c r="S15" s="183"/>
      <c r="T15" s="184"/>
      <c r="U15" s="215" t="s">
        <v>37</v>
      </c>
      <c r="V15" s="216"/>
      <c r="W15" s="216"/>
      <c r="X15" s="216"/>
      <c r="Y15" s="216"/>
    </row>
    <row r="16" spans="1:25" ht="15" customHeight="1" x14ac:dyDescent="0.2">
      <c r="A16" s="177"/>
      <c r="B16" s="178"/>
      <c r="C16" s="180"/>
      <c r="D16" s="178"/>
      <c r="E16" s="39" t="s">
        <v>38</v>
      </c>
      <c r="F16" s="39" t="s">
        <v>39</v>
      </c>
      <c r="G16" s="39" t="s">
        <v>40</v>
      </c>
      <c r="H16" s="39" t="s">
        <v>41</v>
      </c>
      <c r="I16" s="39" t="s">
        <v>42</v>
      </c>
      <c r="J16" s="35" t="s">
        <v>38</v>
      </c>
      <c r="K16" s="35" t="s">
        <v>39</v>
      </c>
      <c r="L16" s="35" t="s">
        <v>40</v>
      </c>
      <c r="M16" s="35" t="s">
        <v>41</v>
      </c>
      <c r="N16" s="35" t="s">
        <v>42</v>
      </c>
      <c r="O16" s="185" t="s">
        <v>43</v>
      </c>
      <c r="P16" s="186"/>
      <c r="Q16" s="186"/>
      <c r="R16" s="186"/>
      <c r="S16" s="186"/>
      <c r="T16" s="187"/>
      <c r="U16" s="36" t="s">
        <v>38</v>
      </c>
      <c r="V16" s="36" t="s">
        <v>39</v>
      </c>
      <c r="W16" s="36" t="s">
        <v>40</v>
      </c>
      <c r="X16" s="36" t="s">
        <v>41</v>
      </c>
      <c r="Y16" s="36" t="s">
        <v>42</v>
      </c>
    </row>
    <row r="17" spans="1:25" ht="60.75" x14ac:dyDescent="0.2">
      <c r="A17" s="208"/>
      <c r="B17" s="188"/>
      <c r="C17" s="189"/>
      <c r="D17" s="83" t="s">
        <v>47</v>
      </c>
      <c r="E17" s="38" cm="1">
        <f t="array" ref="E17">ROUND(_xlfn.XLOOKUP(1, (YPU_Ranges[Curriculum]=YPU_2) * (YPU_Ranges[Measure Type]="Adults Baseline"), YPU_Ranges[Q1],0)*$C$17,0)</f>
        <v>0</v>
      </c>
      <c r="F17" s="38" cm="1">
        <f t="array" ref="F17">ROUND(_xlfn.XLOOKUP(1, (YPU_Ranges[Curriculum]=YPU_2) * (YPU_Ranges[Measure Type]="Adults Baseline"), YPU_Ranges[Q2],0)*$C$17,0)</f>
        <v>0</v>
      </c>
      <c r="G17" s="38" cm="1">
        <f t="array" ref="G17">ROUND(_xlfn.XLOOKUP(1, (YPU_Ranges[Curriculum]=YPU_2) * (YPU_Ranges[Measure Type]="Adults Baseline"), YPU_Ranges[Q3],0)*$C$17,0)</f>
        <v>0</v>
      </c>
      <c r="H17" s="38" cm="1">
        <f t="array" ref="H17">IF(SUM($E17:$G17) + ROUND(_xlfn.XLOOKUP(1, (YPU_Ranges[Curriculum]=YPU_2) * (YPU_Ranges[Measure Type]="Adults Baseline"), YPU_Ranges[Q4],0)*$C$17,0)&lt;&gt;$I17, $I17-SUM($E17:$G17),ROUND(_xlfn.XLOOKUP(1, (YPU_Ranges[Curriculum]=YPU_2) * (YPU_Ranges[Measure Type]="Adults Baseline"), YPU_Ranges[Q4],0)*$C$17,0))</f>
        <v>0</v>
      </c>
      <c r="I17" s="38" cm="1">
        <f t="array" ref="I17">ROUND(_xlfn.XLOOKUP(1, (YPU_Ranges[Curriculum]=YPU_2) * (YPU_Ranges[Measure Type]="Adults Baseline"), YPU_Ranges[Annual],0)*$C$17,0)</f>
        <v>0</v>
      </c>
      <c r="J17" s="92">
        <f>ROUND($N17*0.333, 0)</f>
        <v>0</v>
      </c>
      <c r="K17" s="92">
        <f>ROUND($N17*0.333, 0)</f>
        <v>0</v>
      </c>
      <c r="L17" s="92">
        <f>ROUND($N17*(0.75*0.334), 0)</f>
        <v>0</v>
      </c>
      <c r="M17" s="92">
        <f>IF(ROUND($N17*(0.25*0.334), 0)+SUM($J17:$L17)&lt;&gt;$N17, $N17-SUM($J17:L17), ROUND($N17*(0.25*0.334),0))</f>
        <v>0</v>
      </c>
      <c r="N17" s="85">
        <f>I17</f>
        <v>0</v>
      </c>
      <c r="O17" s="173"/>
      <c r="P17" s="173"/>
      <c r="Q17" s="173"/>
      <c r="R17" s="173"/>
      <c r="S17" s="173"/>
      <c r="T17" s="174"/>
      <c r="U17" s="86">
        <v>0</v>
      </c>
      <c r="V17" s="86">
        <v>0</v>
      </c>
      <c r="W17" s="86">
        <v>0</v>
      </c>
      <c r="X17" s="86">
        <v>0</v>
      </c>
      <c r="Y17" s="86">
        <v>0</v>
      </c>
    </row>
    <row r="18" spans="1:25" ht="45.75" x14ac:dyDescent="0.2">
      <c r="A18" s="208"/>
      <c r="B18" s="188"/>
      <c r="C18" s="189"/>
      <c r="D18" s="37" t="s">
        <v>48</v>
      </c>
      <c r="E18" s="38" cm="1">
        <f t="array" ref="E18">ROUND(_xlfn.XLOOKUP(1, (YPU_Ranges[Curriculum]=YPU_2) * (YPU_Ranges[Measure Type]="Youth Baseline"), YPU_Ranges[Q1],0)*$C$17,0)</f>
        <v>0</v>
      </c>
      <c r="F18" s="38" cm="1">
        <f t="array" ref="F18">ROUND(_xlfn.XLOOKUP(1, (YPU_Ranges[Curriculum]=YPU_2) * (YPU_Ranges[Measure Type]="Youth Baseline"), YPU_Ranges[Q2],0)*$C$17,0)</f>
        <v>0</v>
      </c>
      <c r="G18" s="38" cm="1">
        <f t="array" ref="G18">ROUND(_xlfn.XLOOKUP(1, (YPU_Ranges[Curriculum]=YPU_2) * (YPU_Ranges[Measure Type]="Youth Baseline"), YPU_Ranges[Q3],0)*$C$17,0)</f>
        <v>0</v>
      </c>
      <c r="H18" s="38" cm="1">
        <f t="array" ref="H18">IF(SUM($E18:$G18) + ROUND(_xlfn.XLOOKUP(1, (YPU_Ranges[Curriculum]=YPU_2) * (YPU_Ranges[Measure Type]="Youth Baseline"), YPU_Ranges[Q4],0)*$C$17,0)&lt;&gt; $I18, $I18-SUM($E18:$G18), ROUND(_xlfn.XLOOKUP(1, (YPU_Ranges[Curriculum]=YPU_2) * (YPU_Ranges[Measure Type]="Youth Baseline"), YPU_Ranges[Q4],0)*$C$17,0))</f>
        <v>0</v>
      </c>
      <c r="I18" s="52" cm="1">
        <f t="array" ref="I18">ROUND(_xlfn.XLOOKUP(1, (YPU_Ranges[Curriculum]=YPU_2) * (YPU_Ranges[Measure Type]="Youth Baseline"), YPU_Ranges[Annual],0)*$C$17,0)</f>
        <v>0</v>
      </c>
      <c r="J18" s="92">
        <f>ROUND($N18*0.333, 0)</f>
        <v>0</v>
      </c>
      <c r="K18" s="92">
        <f>ROUND($N18*0.333, 0)</f>
        <v>0</v>
      </c>
      <c r="L18" s="92">
        <f>ROUND($N18*(0.75*0.334), 0)</f>
        <v>0</v>
      </c>
      <c r="M18" s="92">
        <f>IF(ROUND($N18*(0.25*0.334), 0)+SUM($J18:$L18)&lt;&gt;$N18, $N18-SUM($J18:L18), ROUND($N18*(0.25*0.334),0))</f>
        <v>0</v>
      </c>
      <c r="N18" s="85">
        <f>I18</f>
        <v>0</v>
      </c>
      <c r="O18" s="173"/>
      <c r="P18" s="173"/>
      <c r="Q18" s="173"/>
      <c r="R18" s="173"/>
      <c r="S18" s="173"/>
      <c r="T18" s="174"/>
      <c r="U18" s="86">
        <v>0</v>
      </c>
      <c r="V18" s="86">
        <v>0</v>
      </c>
      <c r="W18" s="86">
        <v>0</v>
      </c>
      <c r="X18" s="86">
        <v>0</v>
      </c>
      <c r="Y18" s="86">
        <v>0</v>
      </c>
    </row>
    <row r="19" spans="1:25" ht="15.75" x14ac:dyDescent="0.2">
      <c r="A19" s="175" t="s">
        <v>49</v>
      </c>
      <c r="B19" s="176"/>
      <c r="C19" s="179" t="s">
        <v>32</v>
      </c>
      <c r="D19" s="176" t="s">
        <v>33</v>
      </c>
      <c r="E19" s="181" t="s">
        <v>34</v>
      </c>
      <c r="F19" s="181"/>
      <c r="G19" s="181"/>
      <c r="H19" s="181"/>
      <c r="I19" s="181"/>
      <c r="J19" s="182" t="s">
        <v>35</v>
      </c>
      <c r="K19" s="183"/>
      <c r="L19" s="183"/>
      <c r="M19" s="183"/>
      <c r="N19" s="183"/>
      <c r="O19" s="182" t="s">
        <v>36</v>
      </c>
      <c r="P19" s="183"/>
      <c r="Q19" s="183"/>
      <c r="R19" s="183"/>
      <c r="S19" s="183"/>
      <c r="T19" s="184"/>
      <c r="U19" s="215" t="s">
        <v>37</v>
      </c>
      <c r="V19" s="216"/>
      <c r="W19" s="216"/>
      <c r="X19" s="216"/>
      <c r="Y19" s="216"/>
    </row>
    <row r="20" spans="1:25" ht="15" customHeight="1" x14ac:dyDescent="0.2">
      <c r="A20" s="177"/>
      <c r="B20" s="178"/>
      <c r="C20" s="180"/>
      <c r="D20" s="178"/>
      <c r="E20" s="39" t="s">
        <v>38</v>
      </c>
      <c r="F20" s="39" t="s">
        <v>39</v>
      </c>
      <c r="G20" s="39" t="s">
        <v>40</v>
      </c>
      <c r="H20" s="39" t="s">
        <v>41</v>
      </c>
      <c r="I20" s="39" t="s">
        <v>42</v>
      </c>
      <c r="J20" s="35" t="s">
        <v>38</v>
      </c>
      <c r="K20" s="35" t="s">
        <v>39</v>
      </c>
      <c r="L20" s="35" t="s">
        <v>40</v>
      </c>
      <c r="M20" s="35" t="s">
        <v>41</v>
      </c>
      <c r="N20" s="35" t="s">
        <v>42</v>
      </c>
      <c r="O20" s="185" t="s">
        <v>43</v>
      </c>
      <c r="P20" s="186"/>
      <c r="Q20" s="186"/>
      <c r="R20" s="186"/>
      <c r="S20" s="186"/>
      <c r="T20" s="187"/>
      <c r="U20" s="36" t="s">
        <v>38</v>
      </c>
      <c r="V20" s="36" t="s">
        <v>39</v>
      </c>
      <c r="W20" s="36" t="s">
        <v>40</v>
      </c>
      <c r="X20" s="36" t="s">
        <v>41</v>
      </c>
      <c r="Y20" s="36" t="s">
        <v>42</v>
      </c>
    </row>
    <row r="21" spans="1:25" ht="60.75" x14ac:dyDescent="0.2">
      <c r="A21" s="188"/>
      <c r="B21" s="188"/>
      <c r="C21" s="189"/>
      <c r="D21" s="83" t="s">
        <v>47</v>
      </c>
      <c r="E21" s="38" cm="1">
        <f t="array" ref="E21">ROUND(_xlfn.XLOOKUP(1, (YPU_Ranges[Curriculum]=YPU_3) * (YPU_Ranges[Measure Type]="Adults Baseline"), YPU_Ranges[Q1],0)*$C$21,0)</f>
        <v>0</v>
      </c>
      <c r="F21" s="38" cm="1">
        <f t="array" ref="F21">ROUND(_xlfn.XLOOKUP(1, (YPU_Ranges[Curriculum]=YPU_3) * (YPU_Ranges[Measure Type]="Adults Baseline"), YPU_Ranges[Q2],0)*$C$21,0)</f>
        <v>0</v>
      </c>
      <c r="G21" s="38" cm="1">
        <f t="array" ref="G21">ROUND(_xlfn.XLOOKUP(1, (YPU_Ranges[Curriculum]=YPU_3) * (YPU_Ranges[Measure Type]="Adults Baseline"), YPU_Ranges[Q3],0)*$C$21,0)</f>
        <v>0</v>
      </c>
      <c r="H21" s="38" cm="1">
        <f t="array" ref="H21">IF(SUM($E21:$G21)+ROUND(_xlfn.XLOOKUP(1, (YPU_Ranges[Curriculum]=YPU_3) * (YPU_Ranges[Measure Type]="Adults Baseline"), YPU_Ranges[Q4],0)*$C$21,0)&lt;&gt;$I21, $I21-SUM($E21:$G21),ROUND(_xlfn.XLOOKUP(1, (YPU_Ranges[Curriculum]=YPU_3) * (YPU_Ranges[Measure Type]="Adults Baseline"), YPU_Ranges[Q4],0)*$C$21,0))</f>
        <v>0</v>
      </c>
      <c r="I21" s="38" cm="1">
        <f t="array" ref="I21">ROUND(_xlfn.XLOOKUP(1, (YPU_Ranges[Curriculum]=YPU_3) * (YPU_Ranges[Measure Type]="Adults Baseline"), YPU_Ranges[Annual],0)*$C$21,0)</f>
        <v>0</v>
      </c>
      <c r="J21" s="92">
        <f t="shared" ref="J21:K22" si="0">ROUND($N21*0.333, 0)</f>
        <v>0</v>
      </c>
      <c r="K21" s="92">
        <f t="shared" si="0"/>
        <v>0</v>
      </c>
      <c r="L21" s="92">
        <f t="shared" ref="L21:L22" si="1">ROUND($N21*(0.75*0.334), 0)</f>
        <v>0</v>
      </c>
      <c r="M21" s="92">
        <f>IF(ROUND($N21*(0.25*0.334), 0)+SUM($J21:$L21)&lt;&gt;$N21, $N21-SUM($J21:L21), ROUND($N21*(0.25*0.334),0))</f>
        <v>0</v>
      </c>
      <c r="N21" s="85">
        <f>I21</f>
        <v>0</v>
      </c>
      <c r="O21" s="173"/>
      <c r="P21" s="173"/>
      <c r="Q21" s="173"/>
      <c r="R21" s="173"/>
      <c r="S21" s="173"/>
      <c r="T21" s="174"/>
      <c r="U21" s="86">
        <v>0</v>
      </c>
      <c r="V21" s="86">
        <v>0</v>
      </c>
      <c r="W21" s="86">
        <v>0</v>
      </c>
      <c r="X21" s="86">
        <v>0</v>
      </c>
      <c r="Y21" s="86">
        <v>0</v>
      </c>
    </row>
    <row r="22" spans="1:25" ht="45.75" x14ac:dyDescent="0.2">
      <c r="A22" s="188"/>
      <c r="B22" s="188"/>
      <c r="C22" s="189"/>
      <c r="D22" s="37" t="s">
        <v>48</v>
      </c>
      <c r="E22" s="38" cm="1">
        <f t="array" ref="E22">ROUND(_xlfn.XLOOKUP(1, (YPU_Ranges[Curriculum]=YPU_3) * (YPU_Ranges[Measure Type]="Youth Baseline"), YPU_Ranges[Q1],0)*$C$21,0)</f>
        <v>0</v>
      </c>
      <c r="F22" s="38" cm="1">
        <f t="array" ref="F22">ROUND(_xlfn.XLOOKUP(1, (YPU_Ranges[Curriculum]=YPU_3) * (YPU_Ranges[Measure Type]="Youth Baseline"), YPU_Ranges[Q2],0)*$C$21,0)</f>
        <v>0</v>
      </c>
      <c r="G22" s="38" cm="1">
        <f t="array" ref="G22">ROUND(_xlfn.XLOOKUP(1, (YPU_Ranges[Curriculum]=YPU_3) * (YPU_Ranges[Measure Type]="Youth Baseline"), YPU_Ranges[Q3],0)*$C$21,0)</f>
        <v>0</v>
      </c>
      <c r="H22" s="38" cm="1">
        <f t="array" ref="H22">IF(SUM($E22:$G22)+ROUND(_xlfn.XLOOKUP(1, (YPU_Ranges[Curriculum]=YPU_3) * (YPU_Ranges[Measure Type]="Youth Baseline"), YPU_Ranges[Q4],0)*$C$21,0)&lt;&gt;$I22, $I22-SUM($E22:$G22), ROUND(_xlfn.XLOOKUP(1, (YPU_Ranges[Curriculum]=YPU_3) * (YPU_Ranges[Measure Type]="Youth Baseline"), YPU_Ranges[Q4],0)*$C$21,0))</f>
        <v>0</v>
      </c>
      <c r="I22" s="38" cm="1">
        <f t="array" ref="I22">ROUND(_xlfn.XLOOKUP(1, (YPU_Ranges[Curriculum]=YPU_3) * (YPU_Ranges[Measure Type]="Youth Baseline"), YPU_Ranges[Annual],0)*$C$21,0)</f>
        <v>0</v>
      </c>
      <c r="J22" s="92">
        <f t="shared" si="0"/>
        <v>0</v>
      </c>
      <c r="K22" s="92">
        <f t="shared" si="0"/>
        <v>0</v>
      </c>
      <c r="L22" s="92">
        <f t="shared" si="1"/>
        <v>0</v>
      </c>
      <c r="M22" s="92">
        <f>IF(ROUND($N22*(0.25*0.334), 0)+SUM($J22:$L22)&lt;&gt;$N22, $N22-SUM($J22:L22), ROUND($N22*(0.25*0.334),0))</f>
        <v>0</v>
      </c>
      <c r="N22" s="85">
        <f>I22</f>
        <v>0</v>
      </c>
      <c r="O22" s="173"/>
      <c r="P22" s="173"/>
      <c r="Q22" s="173"/>
      <c r="R22" s="173"/>
      <c r="S22" s="173"/>
      <c r="T22" s="174"/>
      <c r="U22" s="86">
        <v>0</v>
      </c>
      <c r="V22" s="86">
        <v>0</v>
      </c>
      <c r="W22" s="86">
        <v>0</v>
      </c>
      <c r="X22" s="86">
        <v>0</v>
      </c>
      <c r="Y22" s="86">
        <v>0</v>
      </c>
    </row>
    <row r="23" spans="1:25" ht="15" customHeight="1" x14ac:dyDescent="0.2">
      <c r="A23" s="211" t="s">
        <v>50</v>
      </c>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row>
    <row r="24" spans="1:25" ht="15.75" x14ac:dyDescent="0.2">
      <c r="A24" s="198" t="s">
        <v>51</v>
      </c>
      <c r="B24" s="199"/>
      <c r="C24" s="206">
        <f>SUM(C13,C17,C21)</f>
        <v>0</v>
      </c>
      <c r="D24" s="178" t="s">
        <v>33</v>
      </c>
      <c r="E24" s="264" t="s">
        <v>34</v>
      </c>
      <c r="F24" s="265"/>
      <c r="G24" s="265"/>
      <c r="H24" s="265"/>
      <c r="I24" s="266"/>
      <c r="J24" s="182" t="s">
        <v>35</v>
      </c>
      <c r="K24" s="183"/>
      <c r="L24" s="183"/>
      <c r="M24" s="183"/>
      <c r="N24" s="267"/>
      <c r="O24" s="182" t="s">
        <v>36</v>
      </c>
      <c r="P24" s="183"/>
      <c r="Q24" s="183"/>
      <c r="R24" s="183"/>
      <c r="S24" s="183"/>
      <c r="T24" s="184"/>
      <c r="U24" s="222" t="s">
        <v>37</v>
      </c>
      <c r="V24" s="223"/>
      <c r="W24" s="223"/>
      <c r="X24" s="223"/>
      <c r="Y24" s="223"/>
    </row>
    <row r="25" spans="1:25" ht="15" customHeight="1" x14ac:dyDescent="0.2">
      <c r="A25" s="198"/>
      <c r="B25" s="199"/>
      <c r="C25" s="206"/>
      <c r="D25" s="243"/>
      <c r="E25" s="39" t="s">
        <v>38</v>
      </c>
      <c r="F25" s="39" t="s">
        <v>39</v>
      </c>
      <c r="G25" s="39" t="s">
        <v>40</v>
      </c>
      <c r="H25" s="39" t="s">
        <v>41</v>
      </c>
      <c r="I25" s="39" t="s">
        <v>42</v>
      </c>
      <c r="J25" s="35" t="s">
        <v>38</v>
      </c>
      <c r="K25" s="35" t="s">
        <v>39</v>
      </c>
      <c r="L25" s="35" t="s">
        <v>40</v>
      </c>
      <c r="M25" s="35" t="s">
        <v>41</v>
      </c>
      <c r="N25" s="35" t="s">
        <v>42</v>
      </c>
      <c r="O25" s="185" t="s">
        <v>43</v>
      </c>
      <c r="P25" s="186"/>
      <c r="Q25" s="186"/>
      <c r="R25" s="186"/>
      <c r="S25" s="186"/>
      <c r="T25" s="187"/>
      <c r="U25" s="36" t="s">
        <v>38</v>
      </c>
      <c r="V25" s="36" t="s">
        <v>39</v>
      </c>
      <c r="W25" s="36" t="s">
        <v>40</v>
      </c>
      <c r="X25" s="36" t="s">
        <v>41</v>
      </c>
      <c r="Y25" s="36" t="s">
        <v>42</v>
      </c>
    </row>
    <row r="26" spans="1:25" ht="30" x14ac:dyDescent="0.2">
      <c r="A26" s="198"/>
      <c r="B26" s="199"/>
      <c r="C26" s="206"/>
      <c r="D26" s="37" t="s">
        <v>52</v>
      </c>
      <c r="E26" s="38">
        <f>SUM(E13,E17,E21)</f>
        <v>0</v>
      </c>
      <c r="F26" s="38">
        <f t="shared" ref="F26:I26" si="2">SUM(F13,F17,F21)</f>
        <v>0</v>
      </c>
      <c r="G26" s="38">
        <f t="shared" si="2"/>
        <v>0</v>
      </c>
      <c r="H26" s="38">
        <f t="shared" si="2"/>
        <v>0</v>
      </c>
      <c r="I26" s="38">
        <f t="shared" si="2"/>
        <v>0</v>
      </c>
      <c r="J26" s="38">
        <f t="shared" ref="J26:M27" si="3">SUM(J13,J17,J21)</f>
        <v>0</v>
      </c>
      <c r="K26" s="38">
        <f t="shared" si="3"/>
        <v>0</v>
      </c>
      <c r="L26" s="38">
        <f t="shared" si="3"/>
        <v>0</v>
      </c>
      <c r="M26" s="38">
        <f t="shared" si="3"/>
        <v>0</v>
      </c>
      <c r="N26" s="38">
        <f>SUM(IF(OR(ISBLANK($N$13), $N13=0), $I$13, $N$13), IF(OR(ISBLANK($N$17), $N17=0), $I$17, $N$17), IF(OR(ISBLANK($N$21), $N$21), $I$21, $N$21))</f>
        <v>0</v>
      </c>
      <c r="O26" s="173"/>
      <c r="P26" s="173"/>
      <c r="Q26" s="173"/>
      <c r="R26" s="173"/>
      <c r="S26" s="173"/>
      <c r="T26" s="174"/>
      <c r="U26" s="142">
        <f>SUM(U13,U17,U21)</f>
        <v>0</v>
      </c>
      <c r="V26" s="142">
        <f t="shared" ref="V26:Y27" si="4">SUM(V13,V17,V21)</f>
        <v>0</v>
      </c>
      <c r="W26" s="142">
        <f t="shared" si="4"/>
        <v>0</v>
      </c>
      <c r="X26" s="142">
        <f t="shared" si="4"/>
        <v>0</v>
      </c>
      <c r="Y26" s="142">
        <f t="shared" si="4"/>
        <v>0</v>
      </c>
    </row>
    <row r="27" spans="1:25" ht="30" x14ac:dyDescent="0.2">
      <c r="A27" s="198"/>
      <c r="B27" s="199"/>
      <c r="C27" s="206"/>
      <c r="D27" s="37" t="s">
        <v>53</v>
      </c>
      <c r="E27" s="38">
        <f>SUM(E14,E18,E22)</f>
        <v>0</v>
      </c>
      <c r="F27" s="38">
        <f t="shared" ref="F27:I27" si="5">SUM(F14,F18,F22)</f>
        <v>0</v>
      </c>
      <c r="G27" s="38">
        <f t="shared" si="5"/>
        <v>0</v>
      </c>
      <c r="H27" s="38">
        <f t="shared" si="5"/>
        <v>0</v>
      </c>
      <c r="I27" s="38">
        <f t="shared" si="5"/>
        <v>0</v>
      </c>
      <c r="J27" s="38">
        <f t="shared" si="3"/>
        <v>0</v>
      </c>
      <c r="K27" s="38">
        <f t="shared" si="3"/>
        <v>0</v>
      </c>
      <c r="L27" s="38">
        <f t="shared" si="3"/>
        <v>0</v>
      </c>
      <c r="M27" s="38">
        <f t="shared" si="3"/>
        <v>0</v>
      </c>
      <c r="N27" s="38">
        <f>SUM(IF(OR(ISBLANK($N$14), $N$14=0), $I$14, $N$14), IF(OR(ISBLANK($N$18), $N$18=0), $I$18, $N$18), IF(OR(ISBLANK($N$22), $N$22=0), $I$22, $N$22))</f>
        <v>0</v>
      </c>
      <c r="O27" s="173"/>
      <c r="P27" s="173"/>
      <c r="Q27" s="173"/>
      <c r="R27" s="173"/>
      <c r="S27" s="173"/>
      <c r="T27" s="174"/>
      <c r="U27" s="142">
        <f>SUM(U14,U18,U22)</f>
        <v>0</v>
      </c>
      <c r="V27" s="142">
        <f t="shared" si="4"/>
        <v>0</v>
      </c>
      <c r="W27" s="142">
        <f t="shared" si="4"/>
        <v>0</v>
      </c>
      <c r="X27" s="142">
        <f t="shared" si="4"/>
        <v>0</v>
      </c>
      <c r="Y27" s="142">
        <f t="shared" si="4"/>
        <v>0</v>
      </c>
    </row>
    <row r="28" spans="1:25" ht="15.75" x14ac:dyDescent="0.2">
      <c r="A28" s="196" t="s">
        <v>54</v>
      </c>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row>
    <row r="29" spans="1:25" ht="15.75" x14ac:dyDescent="0.2">
      <c r="A29" s="175" t="s">
        <v>55</v>
      </c>
      <c r="B29" s="176"/>
      <c r="C29" s="179" t="s">
        <v>32</v>
      </c>
      <c r="D29" s="176" t="s">
        <v>33</v>
      </c>
      <c r="E29" s="181" t="s">
        <v>34</v>
      </c>
      <c r="F29" s="181"/>
      <c r="G29" s="181"/>
      <c r="H29" s="181"/>
      <c r="I29" s="181"/>
      <c r="J29" s="182" t="s">
        <v>35</v>
      </c>
      <c r="K29" s="183"/>
      <c r="L29" s="183"/>
      <c r="M29" s="183"/>
      <c r="N29" s="183"/>
      <c r="O29" s="182" t="s">
        <v>36</v>
      </c>
      <c r="P29" s="183"/>
      <c r="Q29" s="183"/>
      <c r="R29" s="183"/>
      <c r="S29" s="183"/>
      <c r="T29" s="184"/>
      <c r="U29" s="222" t="s">
        <v>37</v>
      </c>
      <c r="V29" s="223"/>
      <c r="W29" s="223"/>
      <c r="X29" s="223"/>
      <c r="Y29" s="223"/>
    </row>
    <row r="30" spans="1:25" ht="15" customHeight="1" x14ac:dyDescent="0.2">
      <c r="A30" s="177"/>
      <c r="B30" s="178"/>
      <c r="C30" s="180"/>
      <c r="D30" s="176"/>
      <c r="E30" s="34" t="s">
        <v>38</v>
      </c>
      <c r="F30" s="34" t="s">
        <v>39</v>
      </c>
      <c r="G30" s="34" t="s">
        <v>40</v>
      </c>
      <c r="H30" s="34" t="s">
        <v>41</v>
      </c>
      <c r="I30" s="34" t="s">
        <v>42</v>
      </c>
      <c r="J30" s="35" t="s">
        <v>38</v>
      </c>
      <c r="K30" s="35" t="s">
        <v>39</v>
      </c>
      <c r="L30" s="35" t="s">
        <v>40</v>
      </c>
      <c r="M30" s="35" t="s">
        <v>41</v>
      </c>
      <c r="N30" s="35" t="s">
        <v>42</v>
      </c>
      <c r="O30" s="185" t="s">
        <v>43</v>
      </c>
      <c r="P30" s="186"/>
      <c r="Q30" s="186"/>
      <c r="R30" s="186"/>
      <c r="S30" s="186"/>
      <c r="T30" s="187"/>
      <c r="U30" s="36" t="s">
        <v>38</v>
      </c>
      <c r="V30" s="36" t="s">
        <v>39</v>
      </c>
      <c r="W30" s="36" t="s">
        <v>40</v>
      </c>
      <c r="X30" s="36" t="s">
        <v>41</v>
      </c>
      <c r="Y30" s="36" t="s">
        <v>42</v>
      </c>
    </row>
    <row r="31" spans="1:25" ht="60.75" customHeight="1" x14ac:dyDescent="0.2">
      <c r="A31" s="208"/>
      <c r="B31" s="188"/>
      <c r="C31" s="189"/>
      <c r="D31" s="37" t="s">
        <v>44</v>
      </c>
      <c r="E31" s="52" cm="1">
        <f t="array" ref="E31">ROUND(_xlfn.XLOOKUP(1, (YPS_Ranges[Curriculum]=YPS_1) * (YPS_Ranges[Measure Type]="Adults Baseline"), YPS_Ranges[Q1],0)*$C$31,0)</f>
        <v>0</v>
      </c>
      <c r="F31" s="52" cm="1">
        <f t="array" ref="F31">ROUND(_xlfn.XLOOKUP(1, (YPS_Ranges[Curriculum]=YPS_1) * (YPS_Ranges[Measure Type]="Adults Baseline"), YPS_Ranges[Q2],0)*$C$31,0)</f>
        <v>0</v>
      </c>
      <c r="G31" s="52" cm="1">
        <f t="array" ref="G31">ROUND(_xlfn.XLOOKUP(1, (YPS_Ranges[Curriculum]=YPS_1) * (YPS_Ranges[Measure Type]="Adults Baseline"), YPS_Ranges[Q3],0)*$C$31,0)</f>
        <v>0</v>
      </c>
      <c r="H31" s="52" cm="1">
        <f t="array" ref="H31">IF(SUM($E31:$G31)+ROUND(_xlfn.XLOOKUP(1, (YPS_Ranges[Curriculum]=YPS_1) * (YPS_Ranges[Measure Type]="Adults Baseline"), YPS_Ranges[Q4],0)*$C$31,0)&lt;&gt;$I31, $I31-SUM($E31:$G31),ROUND(_xlfn.XLOOKUP(1, (YPS_Ranges[Curriculum]=YPS_1) * (YPS_Ranges[Measure Type]="Adults Baseline"), YPS_Ranges[Q4],0)*$C$31,0))</f>
        <v>0</v>
      </c>
      <c r="I31" s="38" cm="1">
        <f t="array" ref="I31">ROUND(_xlfn.XLOOKUP(1, (YPS_Ranges[Curriculum]=YPS_1) * (YPS_Ranges[Measure Type]="Adults Baseline"), YPS_Ranges[Annual],0)*$C$31,0)</f>
        <v>0</v>
      </c>
      <c r="J31" s="92">
        <f>ROUND($N31*0.333, 0)</f>
        <v>0</v>
      </c>
      <c r="K31" s="92">
        <f>ROUND($N31*0.333, 0)</f>
        <v>0</v>
      </c>
      <c r="L31" s="92">
        <f>ROUND($N31*(0.75*0.334), 0)</f>
        <v>0</v>
      </c>
      <c r="M31" s="92">
        <f>IF(ROUND($N31*(0.25*0.334), 0)+SUM($J31:$L31)&lt;&gt;$N31, $N31-SUM($J31:L31), ROUND($N31*(0.25*0.334),0))</f>
        <v>0</v>
      </c>
      <c r="N31" s="92">
        <v>0</v>
      </c>
      <c r="O31" s="190"/>
      <c r="P31" s="191"/>
      <c r="Q31" s="191"/>
      <c r="R31" s="191"/>
      <c r="S31" s="191"/>
      <c r="T31" s="192"/>
      <c r="U31" s="86">
        <v>0</v>
      </c>
      <c r="V31" s="86">
        <v>0</v>
      </c>
      <c r="W31" s="86">
        <v>0</v>
      </c>
      <c r="X31" s="86">
        <v>0</v>
      </c>
      <c r="Y31" s="86">
        <v>0</v>
      </c>
    </row>
    <row r="32" spans="1:25" ht="45.75" x14ac:dyDescent="0.2">
      <c r="A32" s="208"/>
      <c r="B32" s="188"/>
      <c r="C32" s="189"/>
      <c r="D32" s="83" t="s">
        <v>45</v>
      </c>
      <c r="E32" s="38" cm="1">
        <f t="array" ref="E32">ROUND(_xlfn.XLOOKUP(1, (YPS_Ranges[Curriculum]=YPS_1) * (YPS_Ranges[Measure Type]="Youth Baseline"), YPS_Ranges[Q1],0)*$C$31,0)</f>
        <v>0</v>
      </c>
      <c r="F32" s="38" cm="1">
        <f t="array" ref="F32">ROUND(_xlfn.XLOOKUP(1, (YPS_Ranges[Curriculum]=YPS_1) * (YPS_Ranges[Measure Type]="Youth Baseline"), YPS_Ranges[Q2],0)*$C$31,0)</f>
        <v>0</v>
      </c>
      <c r="G32" s="38" cm="1">
        <f t="array" ref="G32">ROUND(_xlfn.XLOOKUP(1, (YPS_Ranges[Curriculum]=YPS_1) * (YPS_Ranges[Measure Type]="Youth Baseline"), YPS_Ranges[Q3],0)*$C$31,0)</f>
        <v>0</v>
      </c>
      <c r="H32" s="38" cm="1">
        <f t="array" ref="H32">IF(SUM($E32:$G32)+ROUND(_xlfn.XLOOKUP(1, (YPS_Ranges[Curriculum]=YPS_1) * (YPS_Ranges[Measure Type]="Youth Baseline"), YPS_Ranges[Q4],0)*$C$31,0)&lt;&gt;$I32, $I32-SUM($E32:$G32),ROUND(_xlfn.XLOOKUP(1, (YPS_Ranges[Curriculum]=YPS_1) * (YPS_Ranges[Measure Type]="Youth Baseline"), YPS_Ranges[Q4],0)*$C$31,0))</f>
        <v>0</v>
      </c>
      <c r="I32" s="38" cm="1">
        <f t="array" ref="I32">ROUND(_xlfn.XLOOKUP(1, (YPS_Ranges[Curriculum]=YPS_1) * (YPS_Ranges[Measure Type]="Youth Baseline"), YPS_Ranges[Annual],0)*$C$31,0)</f>
        <v>0</v>
      </c>
      <c r="J32" s="92">
        <f t="shared" ref="J32:K32" si="6">ROUND($N32*0.333, 0)</f>
        <v>0</v>
      </c>
      <c r="K32" s="92">
        <f t="shared" si="6"/>
        <v>0</v>
      </c>
      <c r="L32" s="92">
        <f t="shared" ref="L32" si="7">ROUND($N32*(0.75*0.334), 0)</f>
        <v>0</v>
      </c>
      <c r="M32" s="92">
        <f>IF(ROUND($N32*(0.25*0.334), 0)+SUM($J32:$L32)&lt;&gt;$N32, $N32-SUM($J32:L32), ROUND($N32*(0.25*0.334),0))</f>
        <v>0</v>
      </c>
      <c r="N32" s="92">
        <v>0</v>
      </c>
      <c r="O32" s="173"/>
      <c r="P32" s="173"/>
      <c r="Q32" s="173"/>
      <c r="R32" s="173"/>
      <c r="S32" s="173"/>
      <c r="T32" s="174"/>
      <c r="U32" s="86">
        <v>0</v>
      </c>
      <c r="V32" s="86">
        <v>0</v>
      </c>
      <c r="W32" s="86">
        <v>0</v>
      </c>
      <c r="X32" s="86">
        <v>0</v>
      </c>
      <c r="Y32" s="86">
        <v>0</v>
      </c>
    </row>
    <row r="33" spans="1:25" ht="15.75" x14ac:dyDescent="0.2">
      <c r="A33" s="175" t="s">
        <v>56</v>
      </c>
      <c r="B33" s="176"/>
      <c r="C33" s="179" t="s">
        <v>32</v>
      </c>
      <c r="D33" s="176" t="s">
        <v>33</v>
      </c>
      <c r="E33" s="181" t="s">
        <v>34</v>
      </c>
      <c r="F33" s="181"/>
      <c r="G33" s="181"/>
      <c r="H33" s="181"/>
      <c r="I33" s="181"/>
      <c r="J33" s="182" t="s">
        <v>35</v>
      </c>
      <c r="K33" s="183"/>
      <c r="L33" s="183"/>
      <c r="M33" s="183"/>
      <c r="N33" s="183"/>
      <c r="O33" s="182" t="s">
        <v>36</v>
      </c>
      <c r="P33" s="183"/>
      <c r="Q33" s="183"/>
      <c r="R33" s="183"/>
      <c r="S33" s="183"/>
      <c r="T33" s="184"/>
      <c r="U33" s="215" t="s">
        <v>37</v>
      </c>
      <c r="V33" s="216"/>
      <c r="W33" s="216"/>
      <c r="X33" s="216"/>
      <c r="Y33" s="216"/>
    </row>
    <row r="34" spans="1:25" ht="15" customHeight="1" x14ac:dyDescent="0.2">
      <c r="A34" s="177"/>
      <c r="B34" s="178"/>
      <c r="C34" s="180"/>
      <c r="D34" s="178"/>
      <c r="E34" s="39" t="s">
        <v>38</v>
      </c>
      <c r="F34" s="39" t="s">
        <v>39</v>
      </c>
      <c r="G34" s="39" t="s">
        <v>40</v>
      </c>
      <c r="H34" s="39" t="s">
        <v>41</v>
      </c>
      <c r="I34" s="39" t="s">
        <v>42</v>
      </c>
      <c r="J34" s="35" t="s">
        <v>38</v>
      </c>
      <c r="K34" s="35" t="s">
        <v>39</v>
      </c>
      <c r="L34" s="35" t="s">
        <v>40</v>
      </c>
      <c r="M34" s="35" t="s">
        <v>41</v>
      </c>
      <c r="N34" s="35" t="s">
        <v>42</v>
      </c>
      <c r="O34" s="185" t="s">
        <v>43</v>
      </c>
      <c r="P34" s="186"/>
      <c r="Q34" s="186"/>
      <c r="R34" s="186"/>
      <c r="S34" s="186"/>
      <c r="T34" s="187"/>
      <c r="U34" s="36" t="s">
        <v>38</v>
      </c>
      <c r="V34" s="36" t="s">
        <v>39</v>
      </c>
      <c r="W34" s="36" t="s">
        <v>40</v>
      </c>
      <c r="X34" s="36" t="s">
        <v>41</v>
      </c>
      <c r="Y34" s="36" t="s">
        <v>42</v>
      </c>
    </row>
    <row r="35" spans="1:25" ht="60.75" x14ac:dyDescent="0.2">
      <c r="A35" s="208"/>
      <c r="B35" s="188"/>
      <c r="C35" s="189"/>
      <c r="D35" s="37" t="s">
        <v>44</v>
      </c>
      <c r="E35" s="38" cm="1">
        <f t="array" ref="E35">ROUND(_xlfn.XLOOKUP(1, (YPS_Ranges[Curriculum]=YPS_2) * (YPS_Ranges[Measure Type]="Adults Baseline"), YPS_Ranges[Q1],0)*$C$35,0)</f>
        <v>0</v>
      </c>
      <c r="F35" s="38" cm="1">
        <f t="array" ref="F35">ROUND(_xlfn.XLOOKUP(1, (YPS_Ranges[Curriculum]=YPS_2) * (YPS_Ranges[Measure Type]="Adults Baseline"), YPS_Ranges[Q2],0)*$C$35,0)</f>
        <v>0</v>
      </c>
      <c r="G35" s="38" cm="1">
        <f t="array" ref="G35">ROUND(_xlfn.XLOOKUP(1, (YPS_Ranges[Curriculum]=YPS_2) * (YPS_Ranges[Measure Type]="Adults Baseline"), YPS_Ranges[Q3],0)*$C$35,0)</f>
        <v>0</v>
      </c>
      <c r="H35" s="38" cm="1">
        <f t="array" ref="H35">IF(SUM($E35:$G35)+ROUND(_xlfn.XLOOKUP(1, (YPS_Ranges[Curriculum]=YPS_2) * (YPS_Ranges[Measure Type]="Adults Baseline"), YPS_Ranges[Q4],0)*$C$35,0)&lt;&gt;$I35, $I35-SUM($E35:$G35),ROUND(_xlfn.XLOOKUP(1, (YPS_Ranges[Curriculum]=YPS_2) * (YPS_Ranges[Measure Type]="Adults Baseline"), YPS_Ranges[Q4],0)*$C$35,0))</f>
        <v>0</v>
      </c>
      <c r="I35" s="38" cm="1">
        <f t="array" ref="I35">ROUND(_xlfn.XLOOKUP(1, (YPS_Ranges[Curriculum]=YPS_2) * (YPS_Ranges[Measure Type]="Adults Baseline"), YPS_Ranges[Annual],0)*$C$35,0)</f>
        <v>0</v>
      </c>
      <c r="J35" s="92">
        <f t="shared" ref="J35:K36" si="8">ROUND($N35*0.333, 0)</f>
        <v>0</v>
      </c>
      <c r="K35" s="92">
        <f t="shared" si="8"/>
        <v>0</v>
      </c>
      <c r="L35" s="92">
        <f t="shared" ref="L35:L36" si="9">ROUND($N35*(0.75*0.334), 0)</f>
        <v>0</v>
      </c>
      <c r="M35" s="92">
        <f>IF(ROUND($N35*(0.25*0.334), 0)+SUM($J35:$L35)&lt;&gt;$N35, $N35-SUM($J35:L35), ROUND($N35*(0.25*0.334),0))</f>
        <v>0</v>
      </c>
      <c r="N35" s="85">
        <v>0</v>
      </c>
      <c r="O35" s="173"/>
      <c r="P35" s="173"/>
      <c r="Q35" s="173"/>
      <c r="R35" s="173"/>
      <c r="S35" s="173"/>
      <c r="T35" s="174"/>
      <c r="U35" s="86">
        <v>0</v>
      </c>
      <c r="V35" s="86">
        <v>0</v>
      </c>
      <c r="W35" s="86">
        <v>0</v>
      </c>
      <c r="X35" s="86">
        <v>0</v>
      </c>
      <c r="Y35" s="86">
        <v>0</v>
      </c>
    </row>
    <row r="36" spans="1:25" ht="45.75" x14ac:dyDescent="0.2">
      <c r="A36" s="208"/>
      <c r="B36" s="188"/>
      <c r="C36" s="189"/>
      <c r="D36" s="83" t="s">
        <v>45</v>
      </c>
      <c r="E36" s="38" cm="1">
        <f t="array" ref="E36">ROUND(_xlfn.XLOOKUP(1, (YPS_Ranges[Curriculum]=YPS_2) * (YPS_Ranges[Measure Type]="Youth Baseline"), YPS_Ranges[Q1],0)*$C$35,0)</f>
        <v>0</v>
      </c>
      <c r="F36" s="38" cm="1">
        <f t="array" ref="F36">ROUND(_xlfn.XLOOKUP(1, (YPS_Ranges[Curriculum]=YPS_2) * (YPS_Ranges[Measure Type]="Youth Baseline"), YPS_Ranges[Q2],0)*$C$35,0)</f>
        <v>0</v>
      </c>
      <c r="G36" s="38" cm="1">
        <f t="array" ref="G36">ROUND(_xlfn.XLOOKUP(1, (YPS_Ranges[Curriculum]=YPS_2) * (YPS_Ranges[Measure Type]="Youth Baseline"), YPS_Ranges[Q3],0)*$C$35,0)</f>
        <v>0</v>
      </c>
      <c r="H36" s="38" cm="1">
        <f t="array" ref="H36">IF(SUM($E36:$G36)+ROUND(_xlfn.XLOOKUP(1, (YPS_Ranges[Curriculum]=YPS_2) * (YPS_Ranges[Measure Type]="Youth Baseline"), YPS_Ranges[Q4],0)*$C$35,0)&lt;&gt;$I36, $I36-SUM($E36:$G36), ROUND(_xlfn.XLOOKUP(1, (YPS_Ranges[Curriculum]=YPS_2) * (YPS_Ranges[Measure Type]="Youth Baseline"), YPS_Ranges[Q4],0)*$C$35,0))</f>
        <v>0</v>
      </c>
      <c r="I36" s="38" cm="1">
        <f t="array" ref="I36">ROUND(_xlfn.XLOOKUP(1, (YPS_Ranges[Curriculum]=YPS_2) * (YPS_Ranges[Measure Type]="Youth Baseline"), YPS_Ranges[Annual],0)*$C$35,0)</f>
        <v>0</v>
      </c>
      <c r="J36" s="92">
        <f t="shared" si="8"/>
        <v>0</v>
      </c>
      <c r="K36" s="92">
        <f t="shared" si="8"/>
        <v>0</v>
      </c>
      <c r="L36" s="92">
        <f t="shared" si="9"/>
        <v>0</v>
      </c>
      <c r="M36" s="92">
        <f>IF(ROUND($N36*(0.25*0.334), 0)+SUM($J36:$L36)&lt;&gt;$N36, $N36-SUM($J36:L36), ROUND($N36*(0.25*0.334),0))</f>
        <v>0</v>
      </c>
      <c r="N36" s="85">
        <v>0</v>
      </c>
      <c r="O36" s="173"/>
      <c r="P36" s="173"/>
      <c r="Q36" s="173"/>
      <c r="R36" s="173"/>
      <c r="S36" s="173"/>
      <c r="T36" s="174"/>
      <c r="U36" s="86">
        <v>0</v>
      </c>
      <c r="V36" s="86">
        <v>0</v>
      </c>
      <c r="W36" s="86">
        <v>0</v>
      </c>
      <c r="X36" s="86">
        <v>0</v>
      </c>
      <c r="Y36" s="86">
        <v>0</v>
      </c>
    </row>
    <row r="37" spans="1:25" ht="15.75" x14ac:dyDescent="0.2">
      <c r="A37" s="175" t="s">
        <v>57</v>
      </c>
      <c r="B37" s="176"/>
      <c r="C37" s="179" t="s">
        <v>32</v>
      </c>
      <c r="D37" s="176" t="s">
        <v>33</v>
      </c>
      <c r="E37" s="181" t="s">
        <v>58</v>
      </c>
      <c r="F37" s="181"/>
      <c r="G37" s="181"/>
      <c r="H37" s="181"/>
      <c r="I37" s="181"/>
      <c r="J37" s="182" t="s">
        <v>35</v>
      </c>
      <c r="K37" s="183"/>
      <c r="L37" s="183"/>
      <c r="M37" s="183"/>
      <c r="N37" s="183"/>
      <c r="O37" s="182" t="s">
        <v>36</v>
      </c>
      <c r="P37" s="183"/>
      <c r="Q37" s="183"/>
      <c r="R37" s="183"/>
      <c r="S37" s="183"/>
      <c r="T37" s="184"/>
      <c r="U37" s="215" t="s">
        <v>37</v>
      </c>
      <c r="V37" s="216"/>
      <c r="W37" s="216"/>
      <c r="X37" s="216"/>
      <c r="Y37" s="216"/>
    </row>
    <row r="38" spans="1:25" ht="15" customHeight="1" x14ac:dyDescent="0.2">
      <c r="A38" s="177"/>
      <c r="B38" s="178"/>
      <c r="C38" s="180"/>
      <c r="D38" s="178"/>
      <c r="E38" s="39" t="s">
        <v>38</v>
      </c>
      <c r="F38" s="39" t="s">
        <v>39</v>
      </c>
      <c r="G38" s="39" t="s">
        <v>40</v>
      </c>
      <c r="H38" s="39" t="s">
        <v>41</v>
      </c>
      <c r="I38" s="39" t="s">
        <v>42</v>
      </c>
      <c r="J38" s="35" t="s">
        <v>38</v>
      </c>
      <c r="K38" s="35" t="s">
        <v>39</v>
      </c>
      <c r="L38" s="35" t="s">
        <v>40</v>
      </c>
      <c r="M38" s="35" t="s">
        <v>41</v>
      </c>
      <c r="N38" s="35" t="s">
        <v>42</v>
      </c>
      <c r="O38" s="185" t="s">
        <v>43</v>
      </c>
      <c r="P38" s="186"/>
      <c r="Q38" s="186"/>
      <c r="R38" s="186"/>
      <c r="S38" s="186"/>
      <c r="T38" s="187"/>
      <c r="U38" s="36" t="s">
        <v>38</v>
      </c>
      <c r="V38" s="36" t="s">
        <v>39</v>
      </c>
      <c r="W38" s="36" t="s">
        <v>40</v>
      </c>
      <c r="X38" s="36" t="s">
        <v>41</v>
      </c>
      <c r="Y38" s="36" t="s">
        <v>42</v>
      </c>
    </row>
    <row r="39" spans="1:25" ht="60.75" x14ac:dyDescent="0.2">
      <c r="A39" s="167"/>
      <c r="B39" s="168"/>
      <c r="C39" s="171"/>
      <c r="D39" s="37" t="s">
        <v>44</v>
      </c>
      <c r="E39" s="38" cm="1">
        <f t="array" ref="E39">ROUND(_xlfn.XLOOKUP(1, (YPS_Ranges[Curriculum]=YPS_3) * (YPS_Ranges[Measure Type]="Adults Baseline"), YPS_Ranges[Q1],0)*$C$39,0)</f>
        <v>0</v>
      </c>
      <c r="F39" s="38" cm="1">
        <f t="array" ref="F39">ROUND(_xlfn.XLOOKUP(1, (YPS_Ranges[Curriculum]=YPS_3) * (YPS_Ranges[Measure Type]="Adults Baseline"), YPS_Ranges[Q2],0)*$C$39,0)</f>
        <v>0</v>
      </c>
      <c r="G39" s="38" cm="1">
        <f t="array" ref="G39">ROUND(_xlfn.XLOOKUP(1, (YPS_Ranges[Curriculum]=YPS_3) * (YPS_Ranges[Measure Type]="Adults Baseline"), YPS_Ranges[Q3],0)*$C$39,0)</f>
        <v>0</v>
      </c>
      <c r="H39" s="38" cm="1">
        <f t="array" ref="H39">IF(SUM($E39:$G39)+ROUND(_xlfn.XLOOKUP(1, (YPS_Ranges[Curriculum]=YPS_3) * (YPS_Ranges[Measure Type]="Adults Baseline"), YPS_Ranges[Q4],0)*$C$39,0)&lt;&gt;$I39, $I39-SUM($E39:$G39), ROUND(_xlfn.XLOOKUP(1, (YPS_Ranges[Curriculum]=YPS_3) * (YPS_Ranges[Measure Type]="Adults Baseline"), YPS_Ranges[Q4],0)*$C$39,0))</f>
        <v>0</v>
      </c>
      <c r="I39" s="38" cm="1">
        <f t="array" ref="I39">ROUND(_xlfn.XLOOKUP(1, (YPS_Ranges[Curriculum]=YPS_3) * (YPS_Ranges[Measure Type]="Adults Baseline"), YPS_Ranges[Annual],0)*$C$39,0)</f>
        <v>0</v>
      </c>
      <c r="J39" s="92">
        <f t="shared" ref="J39:K40" si="10">ROUND($N39*0.333, 0)</f>
        <v>0</v>
      </c>
      <c r="K39" s="92">
        <f t="shared" si="10"/>
        <v>0</v>
      </c>
      <c r="L39" s="92">
        <f t="shared" ref="L39:L40" si="11">ROUND($N39*(0.75*0.334), 0)</f>
        <v>0</v>
      </c>
      <c r="M39" s="92">
        <f>IF(ROUND($N39*(0.25*0.334), 0)+SUM($J39:$L39)&lt;&gt;$N39, $N39-SUM($J39:L39), ROUND($N39*(0.25*0.334),0))</f>
        <v>0</v>
      </c>
      <c r="N39" s="85">
        <v>0</v>
      </c>
      <c r="O39" s="173"/>
      <c r="P39" s="173"/>
      <c r="Q39" s="173"/>
      <c r="R39" s="173"/>
      <c r="S39" s="173"/>
      <c r="T39" s="174"/>
      <c r="U39" s="86">
        <v>0</v>
      </c>
      <c r="V39" s="86">
        <v>0</v>
      </c>
      <c r="W39" s="86">
        <v>0</v>
      </c>
      <c r="X39" s="86">
        <v>0</v>
      </c>
      <c r="Y39" s="86">
        <v>0</v>
      </c>
    </row>
    <row r="40" spans="1:25" ht="45.75" x14ac:dyDescent="0.2">
      <c r="A40" s="169"/>
      <c r="B40" s="170"/>
      <c r="C40" s="172"/>
      <c r="D40" s="83" t="s">
        <v>45</v>
      </c>
      <c r="E40" s="38" cm="1">
        <f t="array" ref="E40">ROUND(_xlfn.XLOOKUP(1, (YPS_Ranges[Curriculum]=YPS_3) * (YPS_Ranges[Measure Type]="Youth Baseline"), YPS_Ranges[Q1],0)*$C$39,0)</f>
        <v>0</v>
      </c>
      <c r="F40" s="38" cm="1">
        <f t="array" ref="F40">ROUND(_xlfn.XLOOKUP(1, (YPS_Ranges[Curriculum]=YPS_3) * (YPS_Ranges[Measure Type]="Youth Baseline"), YPS_Ranges[Q2],0)*$C$39,0)</f>
        <v>0</v>
      </c>
      <c r="G40" s="38" cm="1">
        <f t="array" ref="G40">ROUND(_xlfn.XLOOKUP(1, (YPS_Ranges[Curriculum]=YPS_3) * (YPS_Ranges[Measure Type]="Youth Baseline"), YPS_Ranges[Q3],0)*$C$39,0)</f>
        <v>0</v>
      </c>
      <c r="H40" s="38" cm="1">
        <f t="array" ref="H40">IF(SUM($E40:$G40)+ROUND(_xlfn.XLOOKUP(1, (YPS_Ranges[Curriculum]=YPS_3) * (YPS_Ranges[Measure Type]="Youth Baseline"), YPS_Ranges[Q4],0)*$C$39,0)&lt;&gt;$I40, $I40-SUM($E40:$G40), ROUND(_xlfn.XLOOKUP(1, (YPS_Ranges[Curriculum]=YPS_3) * (YPS_Ranges[Measure Type]="Youth Baseline"), YPS_Ranges[Q4],0)*$C$39,0))</f>
        <v>0</v>
      </c>
      <c r="I40" s="38" cm="1">
        <f t="array" ref="I40">ROUND(_xlfn.XLOOKUP(1, (YPS_Ranges[Curriculum]=YPS_3) * (YPS_Ranges[Measure Type]="Youth Baseline"), YPS_Ranges[Annual],0)*$C$39,0)</f>
        <v>0</v>
      </c>
      <c r="J40" s="92">
        <f t="shared" si="10"/>
        <v>0</v>
      </c>
      <c r="K40" s="92">
        <f t="shared" si="10"/>
        <v>0</v>
      </c>
      <c r="L40" s="92">
        <f t="shared" si="11"/>
        <v>0</v>
      </c>
      <c r="M40" s="92">
        <f>IF(ROUND($N40*(0.25*0.334), 0)+SUM($J40:$L40)&lt;&gt;$N40, $N40-SUM($J40:L40), ROUND($N40*(0.25*0.334),0))</f>
        <v>0</v>
      </c>
      <c r="N40" s="85">
        <v>0</v>
      </c>
      <c r="O40" s="173"/>
      <c r="P40" s="173"/>
      <c r="Q40" s="173"/>
      <c r="R40" s="173"/>
      <c r="S40" s="173"/>
      <c r="T40" s="174"/>
      <c r="U40" s="86">
        <v>0</v>
      </c>
      <c r="V40" s="86">
        <v>0</v>
      </c>
      <c r="W40" s="86">
        <v>0</v>
      </c>
      <c r="X40" s="86">
        <v>0</v>
      </c>
      <c r="Y40" s="86">
        <v>0</v>
      </c>
    </row>
    <row r="41" spans="1:25" ht="15" customHeight="1" x14ac:dyDescent="0.2">
      <c r="A41" s="211" t="s">
        <v>59</v>
      </c>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row>
    <row r="42" spans="1:25" ht="15.75" x14ac:dyDescent="0.2">
      <c r="A42" s="198" t="s">
        <v>60</v>
      </c>
      <c r="B42" s="199"/>
      <c r="C42" s="206">
        <f>SUM(C31, C35, C39)</f>
        <v>0</v>
      </c>
      <c r="D42" s="176" t="s">
        <v>33</v>
      </c>
      <c r="E42" s="181" t="s">
        <v>34</v>
      </c>
      <c r="F42" s="181"/>
      <c r="G42" s="181"/>
      <c r="H42" s="181"/>
      <c r="I42" s="181"/>
      <c r="J42" s="182" t="s">
        <v>35</v>
      </c>
      <c r="K42" s="183"/>
      <c r="L42" s="183"/>
      <c r="M42" s="183"/>
      <c r="N42" s="183"/>
      <c r="O42" s="182" t="s">
        <v>36</v>
      </c>
      <c r="P42" s="183"/>
      <c r="Q42" s="183"/>
      <c r="R42" s="183"/>
      <c r="S42" s="183"/>
      <c r="T42" s="184"/>
      <c r="U42" s="222" t="s">
        <v>37</v>
      </c>
      <c r="V42" s="223"/>
      <c r="W42" s="223"/>
      <c r="X42" s="223"/>
      <c r="Y42" s="223"/>
    </row>
    <row r="43" spans="1:25" ht="15" customHeight="1" x14ac:dyDescent="0.2">
      <c r="A43" s="198"/>
      <c r="B43" s="199"/>
      <c r="C43" s="206"/>
      <c r="D43" s="178"/>
      <c r="E43" s="39" t="s">
        <v>38</v>
      </c>
      <c r="F43" s="39" t="s">
        <v>39</v>
      </c>
      <c r="G43" s="39" t="s">
        <v>40</v>
      </c>
      <c r="H43" s="39" t="s">
        <v>41</v>
      </c>
      <c r="I43" s="39" t="s">
        <v>42</v>
      </c>
      <c r="J43" s="35" t="s">
        <v>38</v>
      </c>
      <c r="K43" s="35" t="s">
        <v>39</v>
      </c>
      <c r="L43" s="35" t="s">
        <v>40</v>
      </c>
      <c r="M43" s="35" t="s">
        <v>41</v>
      </c>
      <c r="N43" s="35" t="s">
        <v>42</v>
      </c>
      <c r="O43" s="185" t="s">
        <v>43</v>
      </c>
      <c r="P43" s="186"/>
      <c r="Q43" s="186"/>
      <c r="R43" s="186"/>
      <c r="S43" s="186"/>
      <c r="T43" s="187"/>
      <c r="U43" s="36" t="s">
        <v>38</v>
      </c>
      <c r="V43" s="36" t="s">
        <v>39</v>
      </c>
      <c r="W43" s="36" t="s">
        <v>40</v>
      </c>
      <c r="X43" s="36" t="s">
        <v>41</v>
      </c>
      <c r="Y43" s="36" t="s">
        <v>42</v>
      </c>
    </row>
    <row r="44" spans="1:25" ht="30" x14ac:dyDescent="0.2">
      <c r="A44" s="198"/>
      <c r="B44" s="199"/>
      <c r="C44" s="206"/>
      <c r="D44" s="37" t="s">
        <v>61</v>
      </c>
      <c r="E44" s="38">
        <f>SUM(E31,E35,E39)</f>
        <v>0</v>
      </c>
      <c r="F44" s="38">
        <f t="shared" ref="F44:I44" si="12">SUM(F31,F35,F39)</f>
        <v>0</v>
      </c>
      <c r="G44" s="38">
        <f t="shared" si="12"/>
        <v>0</v>
      </c>
      <c r="H44" s="38">
        <f t="shared" si="12"/>
        <v>0</v>
      </c>
      <c r="I44" s="38">
        <f t="shared" si="12"/>
        <v>0</v>
      </c>
      <c r="J44" s="38">
        <f t="shared" ref="J44:M45" si="13">SUM(J31,J35,J39)</f>
        <v>0</v>
      </c>
      <c r="K44" s="38">
        <f t="shared" si="13"/>
        <v>0</v>
      </c>
      <c r="L44" s="38">
        <f t="shared" si="13"/>
        <v>0</v>
      </c>
      <c r="M44" s="38">
        <f t="shared" si="13"/>
        <v>0</v>
      </c>
      <c r="N44" s="38">
        <f>SUM(IF(OR(ISBLANK($N$31), $N$31=0),$I$31, $N$31), IF(OR(ISBLANK($N$35), $N$35=0), $I$35, $N$35), IF(OR(ISBLANK($N$39), $N$39=0), $I$39, $N$39))</f>
        <v>0</v>
      </c>
      <c r="O44" s="173"/>
      <c r="P44" s="173"/>
      <c r="Q44" s="173"/>
      <c r="R44" s="173"/>
      <c r="S44" s="173"/>
      <c r="T44" s="174"/>
      <c r="U44" s="142">
        <f>SUM(U31,U35,U39)</f>
        <v>0</v>
      </c>
      <c r="V44" s="142">
        <f t="shared" ref="V44:Y44" si="14">SUM(V31,V35,V39)</f>
        <v>0</v>
      </c>
      <c r="W44" s="142">
        <f>SUM(W31,W35,W39)</f>
        <v>0</v>
      </c>
      <c r="X44" s="142">
        <f>SUM(X31,X35,X39)</f>
        <v>0</v>
      </c>
      <c r="Y44" s="142">
        <f t="shared" si="14"/>
        <v>0</v>
      </c>
    </row>
    <row r="45" spans="1:25" ht="30" x14ac:dyDescent="0.2">
      <c r="A45" s="198"/>
      <c r="B45" s="199"/>
      <c r="C45" s="206"/>
      <c r="D45" s="37" t="s">
        <v>62</v>
      </c>
      <c r="E45" s="38">
        <f>SUM(E32,E36,E40)</f>
        <v>0</v>
      </c>
      <c r="F45" s="38">
        <f t="shared" ref="F45:I45" si="15">SUM(F32,F36,F40)</f>
        <v>0</v>
      </c>
      <c r="G45" s="38">
        <f t="shared" si="15"/>
        <v>0</v>
      </c>
      <c r="H45" s="38">
        <f t="shared" si="15"/>
        <v>0</v>
      </c>
      <c r="I45" s="38">
        <f t="shared" si="15"/>
        <v>0</v>
      </c>
      <c r="J45" s="38">
        <f t="shared" si="13"/>
        <v>0</v>
      </c>
      <c r="K45" s="38">
        <f t="shared" si="13"/>
        <v>0</v>
      </c>
      <c r="L45" s="38">
        <f t="shared" si="13"/>
        <v>0</v>
      </c>
      <c r="M45" s="38">
        <f t="shared" si="13"/>
        <v>0</v>
      </c>
      <c r="N45" s="38">
        <f>SUM(IF(OR(ISBLANK($N$32), $N$32=0),$I$32, $N$32), IF(OR(ISBLANK($N$36), $N$36=0), $I$36, $N$36), IF(OR(ISBLANK($N$40), $N$40=0), $I$40, $N$40))</f>
        <v>0</v>
      </c>
      <c r="O45" s="173"/>
      <c r="P45" s="173"/>
      <c r="Q45" s="173"/>
      <c r="R45" s="173"/>
      <c r="S45" s="173"/>
      <c r="T45" s="174"/>
      <c r="U45" s="142">
        <f>SUM(U32,U36,U40)</f>
        <v>0</v>
      </c>
      <c r="V45" s="142">
        <f t="shared" ref="V45:Y45" si="16">SUM(V32,V36,V40)</f>
        <v>0</v>
      </c>
      <c r="W45" s="142">
        <f t="shared" si="16"/>
        <v>0</v>
      </c>
      <c r="X45" s="142">
        <f t="shared" si="16"/>
        <v>0</v>
      </c>
      <c r="Y45" s="142">
        <f t="shared" si="16"/>
        <v>0</v>
      </c>
    </row>
    <row r="46" spans="1:25" x14ac:dyDescent="0.2">
      <c r="A46" s="213" t="s">
        <v>63</v>
      </c>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row>
    <row r="47" spans="1:25" ht="15.75" x14ac:dyDescent="0.2">
      <c r="A47" s="175" t="s">
        <v>64</v>
      </c>
      <c r="B47" s="176"/>
      <c r="C47" s="179" t="s">
        <v>32</v>
      </c>
      <c r="D47" s="176" t="s">
        <v>33</v>
      </c>
      <c r="E47" s="181" t="s">
        <v>34</v>
      </c>
      <c r="F47" s="181"/>
      <c r="G47" s="181"/>
      <c r="H47" s="181"/>
      <c r="I47" s="181"/>
      <c r="J47" s="182" t="s">
        <v>35</v>
      </c>
      <c r="K47" s="183"/>
      <c r="L47" s="183"/>
      <c r="M47" s="183"/>
      <c r="N47" s="183"/>
      <c r="O47" s="182" t="s">
        <v>36</v>
      </c>
      <c r="P47" s="183"/>
      <c r="Q47" s="183"/>
      <c r="R47" s="183"/>
      <c r="S47" s="183"/>
      <c r="T47" s="184"/>
      <c r="U47" s="222" t="s">
        <v>37</v>
      </c>
      <c r="V47" s="223"/>
      <c r="W47" s="223"/>
      <c r="X47" s="223"/>
      <c r="Y47" s="223"/>
    </row>
    <row r="48" spans="1:25" ht="15.75" x14ac:dyDescent="0.2">
      <c r="A48" s="177"/>
      <c r="B48" s="178"/>
      <c r="C48" s="180"/>
      <c r="D48" s="178"/>
      <c r="E48" s="39" t="s">
        <v>38</v>
      </c>
      <c r="F48" s="39" t="s">
        <v>39</v>
      </c>
      <c r="G48" s="39" t="s">
        <v>40</v>
      </c>
      <c r="H48" s="39" t="s">
        <v>41</v>
      </c>
      <c r="I48" s="39" t="s">
        <v>42</v>
      </c>
      <c r="J48" s="35" t="s">
        <v>38</v>
      </c>
      <c r="K48" s="35" t="s">
        <v>39</v>
      </c>
      <c r="L48" s="35" t="s">
        <v>40</v>
      </c>
      <c r="M48" s="35" t="s">
        <v>41</v>
      </c>
      <c r="N48" s="35" t="s">
        <v>42</v>
      </c>
      <c r="O48" s="193" t="s">
        <v>43</v>
      </c>
      <c r="P48" s="194"/>
      <c r="Q48" s="194"/>
      <c r="R48" s="194"/>
      <c r="S48" s="194"/>
      <c r="T48" s="195"/>
      <c r="U48" s="36" t="s">
        <v>38</v>
      </c>
      <c r="V48" s="36" t="s">
        <v>39</v>
      </c>
      <c r="W48" s="36" t="s">
        <v>40</v>
      </c>
      <c r="X48" s="36" t="s">
        <v>41</v>
      </c>
      <c r="Y48" s="36" t="s">
        <v>42</v>
      </c>
    </row>
    <row r="49" spans="1:25" ht="60.75" x14ac:dyDescent="0.2">
      <c r="A49" s="208"/>
      <c r="B49" s="188"/>
      <c r="C49" s="189"/>
      <c r="D49" s="37" t="s">
        <v>44</v>
      </c>
      <c r="E49" s="38" cm="1">
        <f t="array" ref="E49">ROUND(_xlfn.XLOOKUP(1, (YPI_Ranges[Curriculum]=YPI_1) * (YPI_Ranges[Measure Type]="Adults Baseline"), YPI_Ranges[Q1],0)*$C$49,0)</f>
        <v>0</v>
      </c>
      <c r="F49" s="38" cm="1">
        <f t="array" ref="F49">ROUND(_xlfn.XLOOKUP(1, (YPI_Ranges[Curriculum]=YPI_1) * (YPI_Ranges[Measure Type]="Adults Baseline"), YPI_Ranges[Q2],0)*$C$49,0)</f>
        <v>0</v>
      </c>
      <c r="G49" s="38" cm="1">
        <f t="array" ref="G49">ROUND(_xlfn.XLOOKUP(1, (YPI_Ranges[Curriculum]=YPI_1) * (YPI_Ranges[Measure Type]="Adults Baseline"), YPI_Ranges[Q3],0)*$C$49,0)</f>
        <v>0</v>
      </c>
      <c r="H49" s="38" cm="1">
        <f t="array" ref="H49">IF(SUM($E49:$G49)+ROUND(_xlfn.XLOOKUP(1, (YPI_Ranges[Curriculum]=YPI_1) * (YPI_Ranges[Measure Type]="Adults Baseline"), YPI_Ranges[Q4],0)*$C$49,0)&lt;&gt;$I49, $I49-SUM($E49:$G49),ROUND(_xlfn.XLOOKUP(1, (YPI_Ranges[Curriculum]=YPI_1) * (YPI_Ranges[Measure Type]="Adults Baseline"), YPI_Ranges[Q4],0)*$C$49,0))</f>
        <v>0</v>
      </c>
      <c r="I49" s="38" cm="1">
        <f t="array" ref="I49">ROUND(_xlfn.XLOOKUP(1, (YPI_Ranges[Curriculum]=YPI_1) * (YPI_Ranges[Measure Type]="Adults Baseline"), YPI_Ranges[Annual],0)*$C$49,0)</f>
        <v>0</v>
      </c>
      <c r="J49" s="92">
        <f t="shared" ref="J49:K50" si="17">ROUND($N49*0.333, 0)</f>
        <v>0</v>
      </c>
      <c r="K49" s="92">
        <f t="shared" si="17"/>
        <v>0</v>
      </c>
      <c r="L49" s="92">
        <f t="shared" ref="L49:L50" si="18">ROUND($N49*(0.75*0.334), 0)</f>
        <v>0</v>
      </c>
      <c r="M49" s="92">
        <f>IF(ROUND($N49*(0.25*0.334), 0)+SUM($J49:$L49)&lt;&gt;$N49, $N49-SUM($J49:L49), ROUND($N49*(0.25*0.334),0))</f>
        <v>0</v>
      </c>
      <c r="N49" s="85">
        <v>0</v>
      </c>
      <c r="O49" s="173"/>
      <c r="P49" s="173"/>
      <c r="Q49" s="173"/>
      <c r="R49" s="173"/>
      <c r="S49" s="173"/>
      <c r="T49" s="174"/>
      <c r="U49" s="86">
        <v>0</v>
      </c>
      <c r="V49" s="86">
        <v>0</v>
      </c>
      <c r="W49" s="86">
        <v>0</v>
      </c>
      <c r="X49" s="86">
        <v>0</v>
      </c>
      <c r="Y49" s="86">
        <v>0</v>
      </c>
    </row>
    <row r="50" spans="1:25" ht="45.75" x14ac:dyDescent="0.2">
      <c r="A50" s="208"/>
      <c r="B50" s="188"/>
      <c r="C50" s="189"/>
      <c r="D50" s="83" t="s">
        <v>45</v>
      </c>
      <c r="E50" s="38" cm="1">
        <f t="array" ref="E50">ROUND(_xlfn.XLOOKUP(1, (YPI_Ranges[Curriculum]=YPI_1) * (YPI_Ranges[Measure Type]="Youth Baseline"), YPI_Ranges[Q1],0)*$C$49,0)</f>
        <v>0</v>
      </c>
      <c r="F50" s="38" cm="1">
        <f t="array" ref="F50">ROUND(_xlfn.XLOOKUP(1, (YPI_Ranges[Curriculum]=YPI_1) * (YPI_Ranges[Measure Type]="Youth Baseline"), YPI_Ranges[Q2],0)*$C$49,0)</f>
        <v>0</v>
      </c>
      <c r="G50" s="38" cm="1">
        <f t="array" ref="G50">ROUND(_xlfn.XLOOKUP(1, (YPI_Ranges[Curriculum]=YPI_1) * (YPI_Ranges[Measure Type]="Youth Baseline"), YPI_Ranges[Q3],0)*$C$49,0)</f>
        <v>0</v>
      </c>
      <c r="H50" s="38" cm="1">
        <f t="array" ref="H50">IF(SUM($E50:$G50)+ROUND(_xlfn.XLOOKUP(1, (YPI_Ranges[Curriculum]=YPI_1) * (YPI_Ranges[Measure Type]="Youth Baseline"), YPI_Ranges[Q4],0)*$C$49,0)&lt;&gt;$I50, $I50-SUM($E50:$G50),ROUND(_xlfn.XLOOKUP(1, (YPI_Ranges[Curriculum]=YPI_1) * (YPI_Ranges[Measure Type]="Youth Baseline"), YPI_Ranges[Q4],0)*$C$49,0))</f>
        <v>0</v>
      </c>
      <c r="I50" s="38" cm="1">
        <f t="array" ref="I50">ROUND(_xlfn.XLOOKUP(1, (YPI_Ranges[Curriculum]=YPI_1) * (YPI_Ranges[Measure Type]="Youth Baseline"), YPI_Ranges[Annual],0)*$C$49,0)</f>
        <v>0</v>
      </c>
      <c r="J50" s="92">
        <f t="shared" si="17"/>
        <v>0</v>
      </c>
      <c r="K50" s="92">
        <f t="shared" si="17"/>
        <v>0</v>
      </c>
      <c r="L50" s="92">
        <f t="shared" si="18"/>
        <v>0</v>
      </c>
      <c r="M50" s="92">
        <f>IF(ROUND($N50*(0.25*0.334), 0)+SUM($J50:$L50)&lt;&gt;$N50, $N50-SUM($J50:L50), ROUND($N50*(0.25*0.334),0))</f>
        <v>0</v>
      </c>
      <c r="N50" s="85">
        <v>0</v>
      </c>
      <c r="O50" s="173"/>
      <c r="P50" s="173"/>
      <c r="Q50" s="173"/>
      <c r="R50" s="173"/>
      <c r="S50" s="173"/>
      <c r="T50" s="174"/>
      <c r="U50" s="86">
        <v>0</v>
      </c>
      <c r="V50" s="86">
        <v>0</v>
      </c>
      <c r="W50" s="86">
        <v>0</v>
      </c>
      <c r="X50" s="86">
        <v>0</v>
      </c>
      <c r="Y50" s="86">
        <v>0</v>
      </c>
    </row>
    <row r="51" spans="1:25" ht="15.75" x14ac:dyDescent="0.2">
      <c r="A51" s="175" t="s">
        <v>65</v>
      </c>
      <c r="B51" s="176"/>
      <c r="C51" s="179" t="s">
        <v>32</v>
      </c>
      <c r="D51" s="176" t="s">
        <v>33</v>
      </c>
      <c r="E51" s="181" t="s">
        <v>34</v>
      </c>
      <c r="F51" s="181"/>
      <c r="G51" s="181"/>
      <c r="H51" s="181"/>
      <c r="I51" s="181"/>
      <c r="J51" s="182" t="s">
        <v>35</v>
      </c>
      <c r="K51" s="183"/>
      <c r="L51" s="183"/>
      <c r="M51" s="183"/>
      <c r="N51" s="183"/>
      <c r="O51" s="182" t="s">
        <v>36</v>
      </c>
      <c r="P51" s="183"/>
      <c r="Q51" s="183"/>
      <c r="R51" s="183"/>
      <c r="S51" s="183"/>
      <c r="T51" s="184"/>
      <c r="U51" s="215" t="s">
        <v>37</v>
      </c>
      <c r="V51" s="216"/>
      <c r="W51" s="216"/>
      <c r="X51" s="216"/>
      <c r="Y51" s="216"/>
    </row>
    <row r="52" spans="1:25" ht="15" customHeight="1" x14ac:dyDescent="0.2">
      <c r="A52" s="177"/>
      <c r="B52" s="178"/>
      <c r="C52" s="180"/>
      <c r="D52" s="178"/>
      <c r="E52" s="34" t="s">
        <v>38</v>
      </c>
      <c r="F52" s="34" t="s">
        <v>39</v>
      </c>
      <c r="G52" s="34" t="s">
        <v>40</v>
      </c>
      <c r="H52" s="34" t="s">
        <v>41</v>
      </c>
      <c r="I52" s="34" t="s">
        <v>42</v>
      </c>
      <c r="J52" s="35" t="s">
        <v>38</v>
      </c>
      <c r="K52" s="35" t="s">
        <v>39</v>
      </c>
      <c r="L52" s="35" t="s">
        <v>40</v>
      </c>
      <c r="M52" s="35" t="s">
        <v>41</v>
      </c>
      <c r="N52" s="35" t="s">
        <v>42</v>
      </c>
      <c r="O52" s="185" t="s">
        <v>43</v>
      </c>
      <c r="P52" s="186"/>
      <c r="Q52" s="186"/>
      <c r="R52" s="186"/>
      <c r="S52" s="186"/>
      <c r="T52" s="187"/>
      <c r="U52" s="36" t="s">
        <v>38</v>
      </c>
      <c r="V52" s="36" t="s">
        <v>39</v>
      </c>
      <c r="W52" s="36" t="s">
        <v>40</v>
      </c>
      <c r="X52" s="36" t="s">
        <v>41</v>
      </c>
      <c r="Y52" s="36" t="s">
        <v>42</v>
      </c>
    </row>
    <row r="53" spans="1:25" ht="60.75" x14ac:dyDescent="0.2">
      <c r="A53" s="167"/>
      <c r="B53" s="217"/>
      <c r="C53" s="220"/>
      <c r="D53" s="37" t="s">
        <v>44</v>
      </c>
      <c r="E53" s="38" cm="1">
        <f t="array" ref="E53">ROUND(_xlfn.XLOOKUP(1, (YPI_Ranges[Curriculum]=YPI_2) * (YPI_Ranges[Measure Type]="Adults Baseline"), YPI_Ranges[Q1],0)*$C$53,0)</f>
        <v>0</v>
      </c>
      <c r="F53" s="38" cm="1">
        <f t="array" ref="F53">ROUND(_xlfn.XLOOKUP(1, (YPI_Ranges[Curriculum]=YPI_2) * (YPI_Ranges[Measure Type]="Adults Baseline"), YPI_Ranges[Q2],0)*$C$53,0)</f>
        <v>0</v>
      </c>
      <c r="G53" s="38" cm="1">
        <f t="array" ref="G53">ROUND(_xlfn.XLOOKUP(1, (YPI_Ranges[Curriculum]=YPI_2) * (YPI_Ranges[Measure Type]="Adults Baseline"), YPI_Ranges[Q3],0)*$C$53,0)</f>
        <v>0</v>
      </c>
      <c r="H53" s="38" cm="1">
        <f t="array" ref="H53">IF(SUM($E53:$G53)+ROUND(_xlfn.XLOOKUP(1, (YPI_Ranges[Curriculum]=YPI_2) * (YPI_Ranges[Measure Type]="Adults Baseline"), YPI_Ranges[Q4],0)*$C$53,0)&lt;&gt;$I53, $I53-SUM($E53:$G53), ROUND(_xlfn.XLOOKUP(1, (YPI_Ranges[Curriculum]=YPI_2) * (YPI_Ranges[Measure Type]="Adults Baseline"), YPI_Ranges[Q4],0)*$C$53,0))</f>
        <v>0</v>
      </c>
      <c r="I53" s="38" cm="1">
        <f t="array" ref="I53">ROUND(_xlfn.XLOOKUP(1, (YPI_Ranges[Curriculum]=YPI_2) * (YPI_Ranges[Measure Type]="Adults Baseline"), YPI_Ranges[Annual],0)*$C$53,0)</f>
        <v>0</v>
      </c>
      <c r="J53" s="92">
        <f t="shared" ref="J53:K54" si="19">ROUND($N53*0.333, 0)</f>
        <v>0</v>
      </c>
      <c r="K53" s="92">
        <f t="shared" si="19"/>
        <v>0</v>
      </c>
      <c r="L53" s="92">
        <f t="shared" ref="L53:L54" si="20">ROUND($N53*(0.75*0.334), 0)</f>
        <v>0</v>
      </c>
      <c r="M53" s="92">
        <f>IF(ROUND($N53*(0.25*0.334), 0)+SUM($J53:$L53)&lt;&gt;$N53, $N53-SUM($J53:L53), ROUND($N53*(0.25*0.334),0))</f>
        <v>0</v>
      </c>
      <c r="N53" s="85">
        <v>0</v>
      </c>
      <c r="O53" s="173"/>
      <c r="P53" s="173"/>
      <c r="Q53" s="173"/>
      <c r="R53" s="173"/>
      <c r="S53" s="173"/>
      <c r="T53" s="174"/>
      <c r="U53" s="86">
        <v>0</v>
      </c>
      <c r="V53" s="86">
        <v>0</v>
      </c>
      <c r="W53" s="86">
        <v>0</v>
      </c>
      <c r="X53" s="86">
        <v>0</v>
      </c>
      <c r="Y53" s="86">
        <v>0</v>
      </c>
    </row>
    <row r="54" spans="1:25" ht="45.75" x14ac:dyDescent="0.2">
      <c r="A54" s="169"/>
      <c r="B54" s="219"/>
      <c r="C54" s="221"/>
      <c r="D54" s="83" t="s">
        <v>45</v>
      </c>
      <c r="E54" s="38" cm="1">
        <f t="array" ref="E54">ROUND(_xlfn.XLOOKUP(1, (YPI_Ranges[Curriculum]=YPI_2) * (YPI_Ranges[Measure Type]="Youth Baseline"), YPI_Ranges[Q1],0)*$C$53,0)</f>
        <v>0</v>
      </c>
      <c r="F54" s="38" cm="1">
        <f t="array" ref="F54">ROUND(_xlfn.XLOOKUP(1, (YPI_Ranges[Curriculum]=YPI_2) * (YPI_Ranges[Measure Type]="Youth Baseline"), YPI_Ranges[Q2],0)*$C$53,0)</f>
        <v>0</v>
      </c>
      <c r="G54" s="38" cm="1">
        <f t="array" ref="G54">ROUND(_xlfn.XLOOKUP(1, (YPI_Ranges[Curriculum]=YPI_2) * (YPI_Ranges[Measure Type]="Youth Baseline"), YPI_Ranges[Q3],0)*$C$53,0)</f>
        <v>0</v>
      </c>
      <c r="H54" s="38" cm="1">
        <f t="array" ref="H54">IF(SUM($E54:$G54)+ROUND(_xlfn.XLOOKUP(1, (YPI_Ranges[Curriculum]=YPI_2) * (YPI_Ranges[Measure Type]="Youth Baseline"), YPI_Ranges[Q4],0)*$C$53,0)&lt;&gt;$I54, $I54-SUM($E54:$G54),ROUND(_xlfn.XLOOKUP(1, (YPI_Ranges[Curriculum]=YPI_2) * (YPI_Ranges[Measure Type]="Youth Baseline"), YPI_Ranges[Q4],0)*$C$53,0))</f>
        <v>0</v>
      </c>
      <c r="I54" s="38" cm="1">
        <f t="array" ref="I54">ROUND(_xlfn.XLOOKUP(1, (YPI_Ranges[Curriculum]=YPI_2) * (YPI_Ranges[Measure Type]="Youth Baseline"), YPI_Ranges[Annual],0)*$C$53,0)</f>
        <v>0</v>
      </c>
      <c r="J54" s="92">
        <f t="shared" si="19"/>
        <v>0</v>
      </c>
      <c r="K54" s="92">
        <f t="shared" si="19"/>
        <v>0</v>
      </c>
      <c r="L54" s="92">
        <f t="shared" si="20"/>
        <v>0</v>
      </c>
      <c r="M54" s="92">
        <f>IF(ROUND($N54*(0.25*0.334), 0)+SUM($J54:$L54)&lt;&gt;$N54, $N54-SUM($J54:L54), ROUND($N54*(0.25*0.334),0))</f>
        <v>0</v>
      </c>
      <c r="N54" s="85">
        <v>0</v>
      </c>
      <c r="O54" s="173"/>
      <c r="P54" s="173"/>
      <c r="Q54" s="173"/>
      <c r="R54" s="173"/>
      <c r="S54" s="173"/>
      <c r="T54" s="174"/>
      <c r="U54" s="86">
        <v>0</v>
      </c>
      <c r="V54" s="86">
        <v>0</v>
      </c>
      <c r="W54" s="86">
        <v>0</v>
      </c>
      <c r="X54" s="86">
        <v>0</v>
      </c>
      <c r="Y54" s="86">
        <v>0</v>
      </c>
    </row>
    <row r="55" spans="1:25" ht="15.75" x14ac:dyDescent="0.2">
      <c r="A55" s="175" t="s">
        <v>66</v>
      </c>
      <c r="B55" s="176"/>
      <c r="C55" s="179" t="s">
        <v>32</v>
      </c>
      <c r="D55" s="176" t="s">
        <v>33</v>
      </c>
      <c r="E55" s="181" t="s">
        <v>34</v>
      </c>
      <c r="F55" s="181"/>
      <c r="G55" s="181"/>
      <c r="H55" s="181"/>
      <c r="I55" s="181"/>
      <c r="J55" s="182" t="s">
        <v>35</v>
      </c>
      <c r="K55" s="183"/>
      <c r="L55" s="183"/>
      <c r="M55" s="183"/>
      <c r="N55" s="183"/>
      <c r="O55" s="182" t="s">
        <v>36</v>
      </c>
      <c r="P55" s="183"/>
      <c r="Q55" s="183"/>
      <c r="R55" s="183"/>
      <c r="S55" s="183"/>
      <c r="T55" s="184"/>
      <c r="U55" s="215" t="s">
        <v>37</v>
      </c>
      <c r="V55" s="216"/>
      <c r="W55" s="216"/>
      <c r="X55" s="216"/>
      <c r="Y55" s="216"/>
    </row>
    <row r="56" spans="1:25" ht="15" customHeight="1" x14ac:dyDescent="0.2">
      <c r="A56" s="177"/>
      <c r="B56" s="178"/>
      <c r="C56" s="180"/>
      <c r="D56" s="178"/>
      <c r="E56" s="34" t="s">
        <v>38</v>
      </c>
      <c r="F56" s="34" t="s">
        <v>39</v>
      </c>
      <c r="G56" s="34" t="s">
        <v>40</v>
      </c>
      <c r="H56" s="34" t="s">
        <v>41</v>
      </c>
      <c r="I56" s="34" t="s">
        <v>42</v>
      </c>
      <c r="J56" s="35" t="s">
        <v>38</v>
      </c>
      <c r="K56" s="35" t="s">
        <v>39</v>
      </c>
      <c r="L56" s="35" t="s">
        <v>40</v>
      </c>
      <c r="M56" s="35" t="s">
        <v>41</v>
      </c>
      <c r="N56" s="35" t="s">
        <v>42</v>
      </c>
      <c r="O56" s="185" t="s">
        <v>43</v>
      </c>
      <c r="P56" s="186"/>
      <c r="Q56" s="186"/>
      <c r="R56" s="186"/>
      <c r="S56" s="186"/>
      <c r="T56" s="187"/>
      <c r="U56" s="36" t="s">
        <v>38</v>
      </c>
      <c r="V56" s="36" t="s">
        <v>39</v>
      </c>
      <c r="W56" s="36" t="s">
        <v>40</v>
      </c>
      <c r="X56" s="36" t="s">
        <v>41</v>
      </c>
      <c r="Y56" s="36" t="s">
        <v>42</v>
      </c>
    </row>
    <row r="57" spans="1:25" ht="60.75" x14ac:dyDescent="0.2">
      <c r="A57" s="209"/>
      <c r="B57" s="217"/>
      <c r="C57" s="220"/>
      <c r="D57" s="37" t="s">
        <v>44</v>
      </c>
      <c r="E57" s="38" cm="1">
        <f t="array" ref="E57">ROUND(_xlfn.XLOOKUP(1, (YPI_Ranges[Curriculum]=YPI_3) * (YPI_Ranges[Measure Type]="Adults Baseline"), YPI_Ranges[Q1],0)*$C$57,0)</f>
        <v>0</v>
      </c>
      <c r="F57" s="38" cm="1">
        <f t="array" ref="F57">ROUND(_xlfn.XLOOKUP(1, (YPI_Ranges[Curriculum]=YPI_3) * (YPI_Ranges[Measure Type]="Adults Baseline"), YPI_Ranges[Q2],0)*$C$57,0)</f>
        <v>0</v>
      </c>
      <c r="G57" s="38" cm="1">
        <f t="array" ref="G57">ROUND(_xlfn.XLOOKUP(1, (YPI_Ranges[Curriculum]=YPI_3) * (YPI_Ranges[Measure Type]="Adults Baseline"), YPI_Ranges[Q3],0)*$C$57,0)</f>
        <v>0</v>
      </c>
      <c r="H57" s="38" cm="1">
        <f t="array" ref="H57">IF(SUM($E57:$G57)+ROUND(_xlfn.XLOOKUP(1, (YPI_Ranges[Curriculum]=YPI_3) * (YPI_Ranges[Measure Type]="Adults Baseline"), YPI_Ranges[Q4],0)*$C$57,0)&lt;&gt;$I57, $I57-SUM($E57:$G57),ROUND(_xlfn.XLOOKUP(1, (YPI_Ranges[Curriculum]=YPI_3) * (YPI_Ranges[Measure Type]="Adults Baseline"), YPI_Ranges[Q4],0)*$C$57,0))</f>
        <v>0</v>
      </c>
      <c r="I57" s="38" cm="1">
        <f t="array" ref="I57">ROUND(_xlfn.XLOOKUP(1, (YPI_Ranges[Curriculum]=YPI_3) * (YPI_Ranges[Measure Type]="Adults Baseline"), YPI_Ranges[Annual],0)*$C$57,0)</f>
        <v>0</v>
      </c>
      <c r="J57" s="92">
        <f t="shared" ref="J57:K58" si="21">ROUND($N57*0.333, 0)</f>
        <v>0</v>
      </c>
      <c r="K57" s="92">
        <f t="shared" si="21"/>
        <v>0</v>
      </c>
      <c r="L57" s="92">
        <f t="shared" ref="L57:L58" si="22">ROUND($N57*(0.75*0.334), 0)</f>
        <v>0</v>
      </c>
      <c r="M57" s="92">
        <f>IF(ROUND($N57*(0.25*0.334), 0)+SUM($J57:$L57)&lt;&gt;$N57, $N57-SUM($J57:L57), ROUND($N57*(0.25*0.334),0))</f>
        <v>0</v>
      </c>
      <c r="N57" s="85">
        <v>0</v>
      </c>
      <c r="O57" s="173"/>
      <c r="P57" s="173"/>
      <c r="Q57" s="173"/>
      <c r="R57" s="173"/>
      <c r="S57" s="173"/>
      <c r="T57" s="174"/>
      <c r="U57" s="86">
        <v>0</v>
      </c>
      <c r="V57" s="86">
        <v>0</v>
      </c>
      <c r="W57" s="86">
        <v>0</v>
      </c>
      <c r="X57" s="86">
        <v>0</v>
      </c>
      <c r="Y57" s="86">
        <v>0</v>
      </c>
    </row>
    <row r="58" spans="1:25" ht="45.75" x14ac:dyDescent="0.2">
      <c r="A58" s="218"/>
      <c r="B58" s="219"/>
      <c r="C58" s="221"/>
      <c r="D58" s="83" t="s">
        <v>45</v>
      </c>
      <c r="E58" s="38" cm="1">
        <f t="array" ref="E58">ROUND(_xlfn.XLOOKUP(1, (YPI_Ranges[Curriculum]=YPI_3) * (YPI_Ranges[Measure Type]="Youth Baseline"), YPI_Ranges[Q1],0)*$C$57,0)</f>
        <v>0</v>
      </c>
      <c r="F58" s="38" cm="1">
        <f t="array" ref="F58">ROUND(_xlfn.XLOOKUP(1, (YPI_Ranges[Curriculum]=YPI_3) * (YPI_Ranges[Measure Type]="Youth Baseline"), YPI_Ranges[Q2],0)*$C$57,0)</f>
        <v>0</v>
      </c>
      <c r="G58" s="38" cm="1">
        <f t="array" ref="G58">ROUND(_xlfn.XLOOKUP(1, (YPI_Ranges[Curriculum]=YPI_3) * (YPI_Ranges[Measure Type]="Youth Baseline"), YPI_Ranges[Q3],0)*$C$57,0)</f>
        <v>0</v>
      </c>
      <c r="H58" s="38" cm="1">
        <f t="array" ref="H58">IF(SUM($E58:$G58)+ROUND(_xlfn.XLOOKUP(1, (YPI_Ranges[Curriculum]=YPI_3) * (YPI_Ranges[Measure Type]="Youth Baseline"), YPI_Ranges[Q4],0)*$C$57,0)&lt;&gt;$I58, $I58-SUM($E58:$G58),ROUND(_xlfn.XLOOKUP(1, (YPI_Ranges[Curriculum]=YPI_3) * (YPI_Ranges[Measure Type]="Youth Baseline"), YPI_Ranges[Q4],0)*$C$57,0))</f>
        <v>0</v>
      </c>
      <c r="I58" s="38" cm="1">
        <f t="array" ref="I58">ROUND(_xlfn.XLOOKUP(1, (YPI_Ranges[Curriculum]=YPI_3) * (YPI_Ranges[Measure Type]="Youth Baseline"), YPI_Ranges[Annual],0)*$C$57,0)</f>
        <v>0</v>
      </c>
      <c r="J58" s="92">
        <f t="shared" si="21"/>
        <v>0</v>
      </c>
      <c r="K58" s="92">
        <f t="shared" si="21"/>
        <v>0</v>
      </c>
      <c r="L58" s="92">
        <f t="shared" si="22"/>
        <v>0</v>
      </c>
      <c r="M58" s="92">
        <f>IF(ROUND($N58*(0.25*0.334), 0)+SUM($J58:$L58)&lt;&gt;$N58, $N58-SUM($J58:L58), ROUND($N58*(0.25*0.334),0))</f>
        <v>0</v>
      </c>
      <c r="N58" s="85">
        <v>0</v>
      </c>
      <c r="O58" s="173"/>
      <c r="P58" s="173"/>
      <c r="Q58" s="173"/>
      <c r="R58" s="173"/>
      <c r="S58" s="173"/>
      <c r="T58" s="174"/>
      <c r="U58" s="86">
        <v>0</v>
      </c>
      <c r="V58" s="86">
        <v>0</v>
      </c>
      <c r="W58" s="86">
        <v>0</v>
      </c>
      <c r="X58" s="86">
        <v>0</v>
      </c>
      <c r="Y58" s="86">
        <v>0</v>
      </c>
    </row>
    <row r="59" spans="1:25" ht="15" customHeight="1" x14ac:dyDescent="0.2">
      <c r="A59" s="211" t="s">
        <v>67</v>
      </c>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row>
    <row r="60" spans="1:25" ht="15.75" x14ac:dyDescent="0.2">
      <c r="A60" s="198" t="s">
        <v>68</v>
      </c>
      <c r="B60" s="199"/>
      <c r="C60" s="206">
        <f>SUM(C49,C53,C57)</f>
        <v>0</v>
      </c>
      <c r="D60" s="176" t="s">
        <v>33</v>
      </c>
      <c r="E60" s="181" t="s">
        <v>34</v>
      </c>
      <c r="F60" s="181"/>
      <c r="G60" s="181"/>
      <c r="H60" s="181"/>
      <c r="I60" s="181"/>
      <c r="J60" s="182" t="s">
        <v>35</v>
      </c>
      <c r="K60" s="183"/>
      <c r="L60" s="183"/>
      <c r="M60" s="183"/>
      <c r="N60" s="183"/>
      <c r="O60" s="182" t="s">
        <v>36</v>
      </c>
      <c r="P60" s="183"/>
      <c r="Q60" s="183"/>
      <c r="R60" s="183"/>
      <c r="S60" s="183"/>
      <c r="T60" s="184"/>
      <c r="U60" s="222" t="s">
        <v>37</v>
      </c>
      <c r="V60" s="223"/>
      <c r="W60" s="223"/>
      <c r="X60" s="223"/>
      <c r="Y60" s="223"/>
    </row>
    <row r="61" spans="1:25" ht="15.75" x14ac:dyDescent="0.2">
      <c r="A61" s="198"/>
      <c r="B61" s="199"/>
      <c r="C61" s="206"/>
      <c r="D61" s="176"/>
      <c r="E61" s="34" t="s">
        <v>38</v>
      </c>
      <c r="F61" s="34" t="s">
        <v>39</v>
      </c>
      <c r="G61" s="34" t="s">
        <v>40</v>
      </c>
      <c r="H61" s="34" t="s">
        <v>41</v>
      </c>
      <c r="I61" s="34" t="s">
        <v>42</v>
      </c>
      <c r="J61" s="35" t="s">
        <v>38</v>
      </c>
      <c r="K61" s="35" t="s">
        <v>39</v>
      </c>
      <c r="L61" s="35" t="s">
        <v>40</v>
      </c>
      <c r="M61" s="35" t="s">
        <v>41</v>
      </c>
      <c r="N61" s="35" t="s">
        <v>42</v>
      </c>
      <c r="O61" s="193" t="s">
        <v>69</v>
      </c>
      <c r="P61" s="194"/>
      <c r="Q61" s="194"/>
      <c r="R61" s="194"/>
      <c r="S61" s="194"/>
      <c r="T61" s="195"/>
      <c r="U61" s="36" t="s">
        <v>38</v>
      </c>
      <c r="V61" s="36" t="s">
        <v>39</v>
      </c>
      <c r="W61" s="36" t="s">
        <v>40</v>
      </c>
      <c r="X61" s="36" t="s">
        <v>41</v>
      </c>
      <c r="Y61" s="36" t="s">
        <v>42</v>
      </c>
    </row>
    <row r="62" spans="1:25" ht="30" x14ac:dyDescent="0.2">
      <c r="A62" s="198"/>
      <c r="B62" s="199"/>
      <c r="C62" s="206"/>
      <c r="D62" s="37" t="s">
        <v>70</v>
      </c>
      <c r="E62" s="38">
        <f>SUM(E49,E53,E57)</f>
        <v>0</v>
      </c>
      <c r="F62" s="38">
        <f t="shared" ref="F62:I63" si="23">SUM(F49,F53,F57)</f>
        <v>0</v>
      </c>
      <c r="G62" s="38">
        <f t="shared" si="23"/>
        <v>0</v>
      </c>
      <c r="H62" s="38">
        <f t="shared" si="23"/>
        <v>0</v>
      </c>
      <c r="I62" s="38">
        <f t="shared" si="23"/>
        <v>0</v>
      </c>
      <c r="J62" s="38">
        <f t="shared" ref="J62:M63" si="24">SUM(J49,J53,J57)</f>
        <v>0</v>
      </c>
      <c r="K62" s="38">
        <f t="shared" si="24"/>
        <v>0</v>
      </c>
      <c r="L62" s="38">
        <f t="shared" si="24"/>
        <v>0</v>
      </c>
      <c r="M62" s="38">
        <f t="shared" si="24"/>
        <v>0</v>
      </c>
      <c r="N62" s="38">
        <f>SUM(IF(OR(ISBLANK($N$49), $N$49=0), $I$49, $N$49), IF(OR(ISBLANK($N$53), $N$53=0), $I$53, $N$53), IF(OR(ISBLANK($N$57), $N$57=0), $I$57, $N$57))</f>
        <v>0</v>
      </c>
      <c r="O62" s="173"/>
      <c r="P62" s="173"/>
      <c r="Q62" s="173"/>
      <c r="R62" s="173"/>
      <c r="S62" s="173"/>
      <c r="T62" s="174"/>
      <c r="U62" s="142">
        <f>SUM(U49,U53,U57)</f>
        <v>0</v>
      </c>
      <c r="V62" s="142">
        <f t="shared" ref="V62:Y62" si="25">SUM(V49,V53,V57)</f>
        <v>0</v>
      </c>
      <c r="W62" s="142">
        <f t="shared" si="25"/>
        <v>0</v>
      </c>
      <c r="X62" s="142">
        <f t="shared" si="25"/>
        <v>0</v>
      </c>
      <c r="Y62" s="142">
        <f t="shared" si="25"/>
        <v>0</v>
      </c>
    </row>
    <row r="63" spans="1:25" ht="30" x14ac:dyDescent="0.2">
      <c r="A63" s="198"/>
      <c r="B63" s="199"/>
      <c r="C63" s="206"/>
      <c r="D63" s="37" t="s">
        <v>71</v>
      </c>
      <c r="E63" s="38">
        <f>SUM(E50,E54,E58)</f>
        <v>0</v>
      </c>
      <c r="F63" s="38">
        <f t="shared" si="23"/>
        <v>0</v>
      </c>
      <c r="G63" s="38">
        <f t="shared" si="23"/>
        <v>0</v>
      </c>
      <c r="H63" s="38">
        <f t="shared" si="23"/>
        <v>0</v>
      </c>
      <c r="I63" s="38">
        <f t="shared" si="23"/>
        <v>0</v>
      </c>
      <c r="J63" s="38">
        <f t="shared" si="24"/>
        <v>0</v>
      </c>
      <c r="K63" s="38">
        <f t="shared" si="24"/>
        <v>0</v>
      </c>
      <c r="L63" s="38">
        <f t="shared" si="24"/>
        <v>0</v>
      </c>
      <c r="M63" s="38">
        <f t="shared" si="24"/>
        <v>0</v>
      </c>
      <c r="N63" s="38">
        <f>SUM(IF(OR(ISBLANK($N$50), $N$50=0), $I$50, $N$50), IF(OR(ISBLANK($N$54), $N$54=0),$I$54, $N$54), IF(OR(ISBLANK($N$58), $N$58=0), $I$58, $N$58))</f>
        <v>0</v>
      </c>
      <c r="O63" s="173"/>
      <c r="P63" s="173"/>
      <c r="Q63" s="173"/>
      <c r="R63" s="173"/>
      <c r="S63" s="173"/>
      <c r="T63" s="174"/>
      <c r="U63" s="142">
        <f>SUM(U50,U54,U58)</f>
        <v>0</v>
      </c>
      <c r="V63" s="142">
        <f t="shared" ref="V63:Y63" si="26">SUM(V50,V54,V58)</f>
        <v>0</v>
      </c>
      <c r="W63" s="142">
        <f t="shared" si="26"/>
        <v>0</v>
      </c>
      <c r="X63" s="142">
        <f t="shared" si="26"/>
        <v>0</v>
      </c>
      <c r="Y63" s="142">
        <f t="shared" si="26"/>
        <v>0</v>
      </c>
    </row>
    <row r="64" spans="1:25" ht="15.75" x14ac:dyDescent="0.2">
      <c r="A64" s="196" t="s">
        <v>72</v>
      </c>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row>
    <row r="65" spans="1:25" ht="15.75" x14ac:dyDescent="0.2">
      <c r="A65" s="239" t="s">
        <v>73</v>
      </c>
      <c r="B65" s="239"/>
      <c r="C65" s="240">
        <f>SUM(C24,C42,C60)</f>
        <v>0</v>
      </c>
      <c r="D65" s="238" t="s">
        <v>33</v>
      </c>
      <c r="E65" s="181" t="s">
        <v>34</v>
      </c>
      <c r="F65" s="181"/>
      <c r="G65" s="181"/>
      <c r="H65" s="181"/>
      <c r="I65" s="181"/>
      <c r="J65" s="182" t="s">
        <v>35</v>
      </c>
      <c r="K65" s="183"/>
      <c r="L65" s="183"/>
      <c r="M65" s="183"/>
      <c r="N65" s="183"/>
      <c r="O65" s="182" t="s">
        <v>36</v>
      </c>
      <c r="P65" s="183"/>
      <c r="Q65" s="183"/>
      <c r="R65" s="183"/>
      <c r="S65" s="183"/>
      <c r="T65" s="184"/>
      <c r="U65" s="233" t="s">
        <v>37</v>
      </c>
      <c r="V65" s="234"/>
      <c r="W65" s="234"/>
      <c r="X65" s="234"/>
      <c r="Y65" s="234"/>
    </row>
    <row r="66" spans="1:25" ht="15" customHeight="1" x14ac:dyDescent="0.2">
      <c r="A66" s="239"/>
      <c r="B66" s="239"/>
      <c r="C66" s="240"/>
      <c r="D66" s="238"/>
      <c r="E66" s="34" t="s">
        <v>38</v>
      </c>
      <c r="F66" s="34" t="s">
        <v>39</v>
      </c>
      <c r="G66" s="34" t="s">
        <v>40</v>
      </c>
      <c r="H66" s="34" t="s">
        <v>41</v>
      </c>
      <c r="I66" s="34" t="s">
        <v>42</v>
      </c>
      <c r="J66" s="35" t="s">
        <v>38</v>
      </c>
      <c r="K66" s="35" t="s">
        <v>39</v>
      </c>
      <c r="L66" s="35" t="s">
        <v>40</v>
      </c>
      <c r="M66" s="35" t="s">
        <v>41</v>
      </c>
      <c r="N66" s="35" t="s">
        <v>42</v>
      </c>
      <c r="O66" s="185" t="s">
        <v>43</v>
      </c>
      <c r="P66" s="186"/>
      <c r="Q66" s="186"/>
      <c r="R66" s="186"/>
      <c r="S66" s="186"/>
      <c r="T66" s="187"/>
      <c r="U66" s="40" t="s">
        <v>38</v>
      </c>
      <c r="V66" s="40" t="s">
        <v>39</v>
      </c>
      <c r="W66" s="40" t="s">
        <v>40</v>
      </c>
      <c r="X66" s="40" t="s">
        <v>41</v>
      </c>
      <c r="Y66" s="41" t="s">
        <v>42</v>
      </c>
    </row>
    <row r="67" spans="1:25" ht="30" x14ac:dyDescent="0.2">
      <c r="A67" s="239"/>
      <c r="B67" s="239"/>
      <c r="C67" s="240"/>
      <c r="D67" s="42" t="s">
        <v>74</v>
      </c>
      <c r="E67" s="43">
        <f>SUM(E68:E70)</f>
        <v>0</v>
      </c>
      <c r="F67" s="43">
        <f t="shared" ref="F67:I67" si="27">SUM(F68:F70)</f>
        <v>0</v>
      </c>
      <c r="G67" s="43">
        <f t="shared" si="27"/>
        <v>0</v>
      </c>
      <c r="H67" s="43">
        <f t="shared" si="27"/>
        <v>0</v>
      </c>
      <c r="I67" s="43">
        <f t="shared" si="27"/>
        <v>0</v>
      </c>
      <c r="J67" s="43">
        <f>SUM(J68:J70)</f>
        <v>0</v>
      </c>
      <c r="K67" s="43">
        <f t="shared" ref="K67:M67" si="28">SUM(K68:K70)</f>
        <v>0</v>
      </c>
      <c r="L67" s="43">
        <f t="shared" si="28"/>
        <v>0</v>
      </c>
      <c r="M67" s="43">
        <f t="shared" si="28"/>
        <v>0</v>
      </c>
      <c r="N67" s="43">
        <f>SUM(IF(OR(ISBLANK($N$68),$N$68=0), $I$68, $N$68), IF(OR(ISBLANK($N$69),$N$69=0), $I$69, $N$69), IF(OR(ISBLANK($N$70),$N$70=0), $I$70, $N$70))</f>
        <v>0</v>
      </c>
      <c r="O67" s="203"/>
      <c r="P67" s="204"/>
      <c r="Q67" s="204"/>
      <c r="R67" s="204"/>
      <c r="S67" s="204"/>
      <c r="T67" s="207"/>
      <c r="U67" s="142">
        <f>SUM(U68:U70)</f>
        <v>0</v>
      </c>
      <c r="V67" s="142">
        <f t="shared" ref="V67:Y67" si="29">SUM(V68:V70)</f>
        <v>0</v>
      </c>
      <c r="W67" s="142">
        <f t="shared" si="29"/>
        <v>0</v>
      </c>
      <c r="X67" s="142">
        <f t="shared" si="29"/>
        <v>0</v>
      </c>
      <c r="Y67" s="142">
        <f t="shared" si="29"/>
        <v>0</v>
      </c>
    </row>
    <row r="68" spans="1:25" ht="30" x14ac:dyDescent="0.2">
      <c r="A68" s="239"/>
      <c r="B68" s="239"/>
      <c r="C68" s="240"/>
      <c r="D68" s="44" t="s">
        <v>75</v>
      </c>
      <c r="E68" s="101">
        <f>ROUND(($I68*0.2),0)</f>
        <v>0</v>
      </c>
      <c r="F68" s="45">
        <f>ROUND(($I68*0.2),0)</f>
        <v>0</v>
      </c>
      <c r="G68" s="45">
        <f>ROUND(($I68*0.3),0)</f>
        <v>0</v>
      </c>
      <c r="H68" s="45">
        <f>IF(SUM($E68:$G68)+ROUND(($I68*0.3),0)&lt;&gt;$I68, $I68-SUM($E68:$G68), ROUND(($I68*0.3),0))</f>
        <v>0</v>
      </c>
      <c r="I68" s="45">
        <f>ROUND('Other Activity Calulations'!$F$8*Alts_POE*$C$24, 0)</f>
        <v>0</v>
      </c>
      <c r="J68" s="87">
        <f t="shared" ref="J68:K70" si="30">ROUND(($N68*0.2),0)</f>
        <v>0</v>
      </c>
      <c r="K68" s="87">
        <f t="shared" si="30"/>
        <v>0</v>
      </c>
      <c r="L68" s="87">
        <f>ROUND(($N68*0.3),0)</f>
        <v>0</v>
      </c>
      <c r="M68" s="109">
        <f>IF(SUM($J68:$L68)+ROUND(($N68*0.3),0)&lt;&gt;$N68, $N68-SUM($J68:$L68),ROUND(($N68*0.3),0))</f>
        <v>0</v>
      </c>
      <c r="N68" s="87">
        <f>I68</f>
        <v>0</v>
      </c>
      <c r="O68" s="235"/>
      <c r="P68" s="236"/>
      <c r="Q68" s="236"/>
      <c r="R68" s="236"/>
      <c r="S68" s="236"/>
      <c r="T68" s="237"/>
      <c r="U68" s="87">
        <v>0</v>
      </c>
      <c r="V68" s="87">
        <v>0</v>
      </c>
      <c r="W68" s="88">
        <v>0</v>
      </c>
      <c r="X68" s="87">
        <v>0</v>
      </c>
      <c r="Y68" s="87">
        <v>0</v>
      </c>
    </row>
    <row r="69" spans="1:25" ht="30" x14ac:dyDescent="0.2">
      <c r="A69" s="239"/>
      <c r="B69" s="239"/>
      <c r="C69" s="240"/>
      <c r="D69" s="46" t="s">
        <v>76</v>
      </c>
      <c r="E69" s="102">
        <f t="shared" ref="E69:F78" si="31">ROUND(($I69*0.2),0)</f>
        <v>0</v>
      </c>
      <c r="F69" s="47">
        <f t="shared" si="31"/>
        <v>0</v>
      </c>
      <c r="G69" s="47">
        <f>ROUND(($I69*0.3),0)</f>
        <v>0</v>
      </c>
      <c r="H69" s="47">
        <f t="shared" ref="H69:H70" si="32">IF(SUM($E69:$G69)+ROUND(($I69*0.3),0)&lt;&gt;$I69, $I69-SUM($E69:$G69), ROUND(($I69*0.3),0))</f>
        <v>0</v>
      </c>
      <c r="I69" s="47">
        <f>ROUND('Other Activity Calulations'!$F$8*Alts_POE*$C$42, 0)</f>
        <v>0</v>
      </c>
      <c r="J69" s="89">
        <f t="shared" si="30"/>
        <v>0</v>
      </c>
      <c r="K69" s="89">
        <f t="shared" si="30"/>
        <v>0</v>
      </c>
      <c r="L69" s="89">
        <f t="shared" ref="L69:L70" si="33">ROUND(($N69*0.3),0)</f>
        <v>0</v>
      </c>
      <c r="M69" s="110">
        <f>IF(SUM($J69:$L69)+ROUND(($N69*0.3),0)&lt;&gt;$N69, $N69-SUM($J69:$L69),ROUND(($N69*0.3),0))</f>
        <v>0</v>
      </c>
      <c r="N69" s="110">
        <f t="shared" ref="N69:N70" si="34">I69</f>
        <v>0</v>
      </c>
      <c r="O69" s="224"/>
      <c r="P69" s="225"/>
      <c r="Q69" s="225"/>
      <c r="R69" s="225"/>
      <c r="S69" s="225"/>
      <c r="T69" s="226"/>
      <c r="U69" s="89">
        <v>0</v>
      </c>
      <c r="V69" s="89">
        <v>0</v>
      </c>
      <c r="W69" s="89">
        <v>0</v>
      </c>
      <c r="X69" s="89">
        <v>0</v>
      </c>
      <c r="Y69" s="89">
        <v>0</v>
      </c>
    </row>
    <row r="70" spans="1:25" ht="30" x14ac:dyDescent="0.2">
      <c r="A70" s="239"/>
      <c r="B70" s="239"/>
      <c r="C70" s="240"/>
      <c r="D70" s="49" t="s">
        <v>77</v>
      </c>
      <c r="E70" s="103">
        <f t="shared" si="31"/>
        <v>0</v>
      </c>
      <c r="F70" s="50">
        <f t="shared" si="31"/>
        <v>0</v>
      </c>
      <c r="G70" s="50">
        <f t="shared" ref="G70:G78" si="35">ROUND(($I70*0.3),0)</f>
        <v>0</v>
      </c>
      <c r="H70" s="50">
        <f t="shared" si="32"/>
        <v>0</v>
      </c>
      <c r="I70" s="50">
        <f>ROUND('Other Activity Calulations'!$F$8*Alts_POE*$C$60, 0)</f>
        <v>0</v>
      </c>
      <c r="J70" s="90">
        <f t="shared" si="30"/>
        <v>0</v>
      </c>
      <c r="K70" s="90">
        <f t="shared" si="30"/>
        <v>0</v>
      </c>
      <c r="L70" s="90">
        <f t="shared" si="33"/>
        <v>0</v>
      </c>
      <c r="M70" s="111">
        <f>IF(SUM($J70:$L70)+ROUND(($N70*0.3),0)&lt;&gt;$N70, $N70-SUM($J70:$L70), ROUND(($N70*0.3),0))</f>
        <v>0</v>
      </c>
      <c r="N70" s="111">
        <f t="shared" si="34"/>
        <v>0</v>
      </c>
      <c r="O70" s="227"/>
      <c r="P70" s="228"/>
      <c r="Q70" s="228"/>
      <c r="R70" s="228"/>
      <c r="S70" s="228"/>
      <c r="T70" s="229"/>
      <c r="U70" s="90">
        <v>0</v>
      </c>
      <c r="V70" s="90">
        <v>0</v>
      </c>
      <c r="W70" s="90">
        <v>0</v>
      </c>
      <c r="X70" s="90">
        <v>0</v>
      </c>
      <c r="Y70" s="90">
        <v>0</v>
      </c>
    </row>
    <row r="71" spans="1:25" ht="60" customHeight="1" x14ac:dyDescent="0.2">
      <c r="A71" s="239"/>
      <c r="B71" s="239"/>
      <c r="C71" s="240"/>
      <c r="D71" s="84" t="s">
        <v>78</v>
      </c>
      <c r="E71" s="52">
        <f>SUM(E72:E74)</f>
        <v>0</v>
      </c>
      <c r="F71" s="52">
        <f t="shared" ref="F71:I71" si="36">SUM(F72:F74)</f>
        <v>0</v>
      </c>
      <c r="G71" s="52">
        <f t="shared" si="36"/>
        <v>0</v>
      </c>
      <c r="H71" s="52">
        <f t="shared" si="36"/>
        <v>0</v>
      </c>
      <c r="I71" s="52">
        <f t="shared" si="36"/>
        <v>0</v>
      </c>
      <c r="J71" s="52">
        <f>SUM(J72:J74)</f>
        <v>0</v>
      </c>
      <c r="K71" s="52">
        <f t="shared" ref="K71:M71" si="37">SUM(K72:K74)</f>
        <v>0</v>
      </c>
      <c r="L71" s="52">
        <f t="shared" si="37"/>
        <v>0</v>
      </c>
      <c r="M71" s="52">
        <f t="shared" si="37"/>
        <v>0</v>
      </c>
      <c r="N71" s="52">
        <f>SUM(IF(OR(ISBLANK($N$72), $N$72=0), $I$72, $N$72), IF(OR(ISBLANK($N$73), $N$73=0), $I$73, $N$73), IF(OR(ISBLANK($N$74), $N$74=0), $I$74, $N$74))</f>
        <v>0</v>
      </c>
      <c r="O71" s="203"/>
      <c r="P71" s="204"/>
      <c r="Q71" s="204"/>
      <c r="R71" s="204"/>
      <c r="S71" s="204"/>
      <c r="T71" s="205"/>
      <c r="U71" s="142">
        <f>SUM(U72:U74)</f>
        <v>0</v>
      </c>
      <c r="V71" s="142">
        <f t="shared" ref="V71" si="38">SUM(V72:V74)</f>
        <v>0</v>
      </c>
      <c r="W71" s="142">
        <f t="shared" ref="W71" si="39">SUM(W72:W74)</f>
        <v>0</v>
      </c>
      <c r="X71" s="142">
        <f t="shared" ref="X71" si="40">SUM(X72:X74)</f>
        <v>0</v>
      </c>
      <c r="Y71" s="142">
        <f t="shared" ref="Y71" si="41">SUM(Y72:Y74)</f>
        <v>0</v>
      </c>
    </row>
    <row r="72" spans="1:25" ht="30" x14ac:dyDescent="0.2">
      <c r="A72" s="239"/>
      <c r="B72" s="239"/>
      <c r="C72" s="240"/>
      <c r="D72" s="44" t="s">
        <v>79</v>
      </c>
      <c r="E72" s="101">
        <f t="shared" si="31"/>
        <v>0</v>
      </c>
      <c r="F72" s="45">
        <f t="shared" si="31"/>
        <v>0</v>
      </c>
      <c r="G72" s="45">
        <f t="shared" si="35"/>
        <v>0</v>
      </c>
      <c r="H72" s="45">
        <f>IF(SUM($E72:$G72)+ROUND(($I72*0.3),0)&lt;&gt;$I72, $I72-SUM($E72:$G72), ROUND(($I72*0.3),0))</f>
        <v>0</v>
      </c>
      <c r="I72" s="45">
        <f>ROUND('Other Activity Calulations'!$G$8*Alts_POE*$C$24, 0) + ($I$13*IF(YPU_1 = "Guiding Good Choices", 3, 0)) + ($I$17*IF(YPU_2 = "Guiding Good Choices", 3, 0)) + ($I$21*IF(YPU_3 = "Guiding Good Choices", 3, 0))</f>
        <v>0</v>
      </c>
      <c r="J72" s="45">
        <f>ROUND(($N72*0.2),0)</f>
        <v>0</v>
      </c>
      <c r="K72" s="45">
        <f t="shared" ref="K72:K74" si="42">ROUND(($N72*0.2),0)</f>
        <v>0</v>
      </c>
      <c r="L72" s="45">
        <f>ROUND(($N72*0.3),0)</f>
        <v>0</v>
      </c>
      <c r="M72" s="45">
        <f>IF(SUM($J72:$L72)+ROUND(($N72*0.3),0)&lt;&gt;$N72, $N72-SUM($J72:$L72), ROUND(($N72*0.3),0))</f>
        <v>0</v>
      </c>
      <c r="N72" s="87">
        <f>I72</f>
        <v>0</v>
      </c>
      <c r="O72" s="200"/>
      <c r="P72" s="201"/>
      <c r="Q72" s="201"/>
      <c r="R72" s="201"/>
      <c r="S72" s="201"/>
      <c r="T72" s="202"/>
      <c r="U72" s="87">
        <v>0</v>
      </c>
      <c r="V72" s="87">
        <v>0</v>
      </c>
      <c r="W72" s="87">
        <v>0</v>
      </c>
      <c r="X72" s="87">
        <v>0</v>
      </c>
      <c r="Y72" s="87">
        <v>0</v>
      </c>
    </row>
    <row r="73" spans="1:25" ht="30" x14ac:dyDescent="0.2">
      <c r="A73" s="239"/>
      <c r="B73" s="239"/>
      <c r="C73" s="240"/>
      <c r="D73" s="46" t="s">
        <v>80</v>
      </c>
      <c r="E73" s="104">
        <f t="shared" si="31"/>
        <v>0</v>
      </c>
      <c r="F73" s="48">
        <f t="shared" si="31"/>
        <v>0</v>
      </c>
      <c r="G73" s="48">
        <f t="shared" si="35"/>
        <v>0</v>
      </c>
      <c r="H73" s="48">
        <f t="shared" ref="H73:H78" si="43">IF(SUM($E73:$G73)+ROUND(($I73*0.3),0)&lt;&gt;$I73, $I73-SUM($E73:$G73), ROUND(($I73*0.3),0))</f>
        <v>0</v>
      </c>
      <c r="I73" s="47">
        <f>ROUND('Other Activity Calulations'!$G$8*Alts_POE*$C$42, 0)</f>
        <v>0</v>
      </c>
      <c r="J73" s="91">
        <f t="shared" ref="J73:J74" si="44">ROUND(($N73*0.2),0)</f>
        <v>0</v>
      </c>
      <c r="K73" s="91">
        <f t="shared" si="42"/>
        <v>0</v>
      </c>
      <c r="L73" s="91">
        <f t="shared" ref="L73:L74" si="45">ROUND(($N73*0.3),0)</f>
        <v>0</v>
      </c>
      <c r="M73" s="91">
        <f>IF(SUM($J73:$L73)+ROUND(($N73*0.3),0)&lt;&gt;$N73, $N73-SUM($J73:$L73), ROUND(($N73*0.3),0))</f>
        <v>0</v>
      </c>
      <c r="N73" s="91">
        <f t="shared" ref="N73:N74" si="46">I73</f>
        <v>0</v>
      </c>
      <c r="O73" s="224"/>
      <c r="P73" s="225"/>
      <c r="Q73" s="225"/>
      <c r="R73" s="225"/>
      <c r="S73" s="225"/>
      <c r="T73" s="226"/>
      <c r="U73" s="89">
        <v>0</v>
      </c>
      <c r="V73" s="89">
        <v>0</v>
      </c>
      <c r="W73" s="89">
        <v>0</v>
      </c>
      <c r="X73" s="89">
        <v>0</v>
      </c>
      <c r="Y73" s="89">
        <v>0</v>
      </c>
    </row>
    <row r="74" spans="1:25" ht="30" x14ac:dyDescent="0.2">
      <c r="A74" s="239"/>
      <c r="B74" s="239"/>
      <c r="C74" s="240"/>
      <c r="D74" s="49" t="s">
        <v>81</v>
      </c>
      <c r="E74" s="105">
        <f t="shared" si="31"/>
        <v>0</v>
      </c>
      <c r="F74" s="51">
        <f t="shared" si="31"/>
        <v>0</v>
      </c>
      <c r="G74" s="51">
        <f t="shared" si="35"/>
        <v>0</v>
      </c>
      <c r="H74" s="51">
        <f t="shared" si="43"/>
        <v>0</v>
      </c>
      <c r="I74" s="50">
        <f>ROUND('Other Activity Calulations'!$G$8*Alts_POE*$C$60, 0)</f>
        <v>0</v>
      </c>
      <c r="J74" s="90">
        <f t="shared" si="44"/>
        <v>0</v>
      </c>
      <c r="K74" s="90">
        <f t="shared" si="42"/>
        <v>0</v>
      </c>
      <c r="L74" s="90">
        <f t="shared" si="45"/>
        <v>0</v>
      </c>
      <c r="M74" s="90">
        <f>IF(SUM($J74:$L74)+ROUND(($N74*0.3),0)&lt;&gt;$N74, $N74-SUM($J74:$L74), ROUND(($N74*0.3),0))</f>
        <v>0</v>
      </c>
      <c r="N74" s="90">
        <f t="shared" si="46"/>
        <v>0</v>
      </c>
      <c r="O74" s="227"/>
      <c r="P74" s="228"/>
      <c r="Q74" s="228"/>
      <c r="R74" s="228"/>
      <c r="S74" s="228"/>
      <c r="T74" s="229"/>
      <c r="U74" s="90">
        <v>0</v>
      </c>
      <c r="V74" s="90">
        <v>0</v>
      </c>
      <c r="W74" s="90">
        <v>0</v>
      </c>
      <c r="X74" s="90">
        <v>0</v>
      </c>
      <c r="Y74" s="90">
        <v>0</v>
      </c>
    </row>
    <row r="75" spans="1:25" ht="30" x14ac:dyDescent="0.2">
      <c r="A75" s="239"/>
      <c r="B75" s="239"/>
      <c r="C75" s="240"/>
      <c r="D75" s="42" t="s">
        <v>82</v>
      </c>
      <c r="E75" s="38">
        <f>SUM(E76:E78)</f>
        <v>0</v>
      </c>
      <c r="F75" s="38">
        <f t="shared" ref="F75:M75" si="47">SUM(F76:F78)</f>
        <v>0</v>
      </c>
      <c r="G75" s="38">
        <f t="shared" si="47"/>
        <v>0</v>
      </c>
      <c r="H75" s="38">
        <f t="shared" si="47"/>
        <v>0</v>
      </c>
      <c r="I75" s="38">
        <f t="shared" si="47"/>
        <v>0</v>
      </c>
      <c r="J75" s="38">
        <f t="shared" si="47"/>
        <v>0</v>
      </c>
      <c r="K75" s="38">
        <f t="shared" si="47"/>
        <v>0</v>
      </c>
      <c r="L75" s="38">
        <f t="shared" si="47"/>
        <v>0</v>
      </c>
      <c r="M75" s="38">
        <f t="shared" si="47"/>
        <v>0</v>
      </c>
      <c r="N75" s="38">
        <f>SUM(IF(OR(ISBLANK($N$76), $N$76=0), $I$76, $N$76), IF(OR(ISBLANK($N$77), $N$77=0), $I$77, $N$77), IF(OR(ISBLANK($N$78), $N$78=0), $I$78, $N$78))</f>
        <v>0</v>
      </c>
      <c r="O75" s="203"/>
      <c r="P75" s="204"/>
      <c r="Q75" s="204"/>
      <c r="R75" s="204"/>
      <c r="S75" s="204"/>
      <c r="T75" s="205"/>
      <c r="U75" s="142">
        <f>SUM(U76:U78)</f>
        <v>0</v>
      </c>
      <c r="V75" s="142">
        <f t="shared" ref="V75" si="48">SUM(V76:V78)</f>
        <v>0</v>
      </c>
      <c r="W75" s="142">
        <f t="shared" ref="W75" si="49">SUM(W76:W78)</f>
        <v>0</v>
      </c>
      <c r="X75" s="142">
        <f t="shared" ref="X75" si="50">SUM(X76:X78)</f>
        <v>0</v>
      </c>
      <c r="Y75" s="142">
        <f t="shared" ref="Y75" si="51">SUM(Y76:Y78)</f>
        <v>0</v>
      </c>
    </row>
    <row r="76" spans="1:25" x14ac:dyDescent="0.2">
      <c r="A76" s="239"/>
      <c r="B76" s="239"/>
      <c r="C76" s="240"/>
      <c r="D76" s="44" t="s">
        <v>83</v>
      </c>
      <c r="E76" s="101">
        <f t="shared" si="31"/>
        <v>0</v>
      </c>
      <c r="F76" s="45">
        <f t="shared" si="31"/>
        <v>0</v>
      </c>
      <c r="G76" s="45">
        <f t="shared" si="35"/>
        <v>0</v>
      </c>
      <c r="H76" s="45">
        <f t="shared" si="43"/>
        <v>0</v>
      </c>
      <c r="I76" s="45">
        <f>ROUND('Other Activity Calulations'!$I$8*Alts_POE*$C$24, 0)</f>
        <v>0</v>
      </c>
      <c r="J76" s="45">
        <f>ROUND(($N76*0.2),0)</f>
        <v>0</v>
      </c>
      <c r="K76" s="45">
        <f t="shared" ref="K76:K78" si="52">ROUND(($N76*0.2),0)</f>
        <v>0</v>
      </c>
      <c r="L76" s="45">
        <f>ROUND(($N76*0.3),0)</f>
        <v>0</v>
      </c>
      <c r="M76" s="45">
        <f>IF(SUM($J76:$L76)+ROUND(($N76*0.3),0)&lt;&gt;$N76, $N76-SUM($J76:$L76), ROUND(($N76*0.3),0))</f>
        <v>0</v>
      </c>
      <c r="N76" s="87">
        <f>I76</f>
        <v>0</v>
      </c>
      <c r="O76" s="230"/>
      <c r="P76" s="230"/>
      <c r="Q76" s="230"/>
      <c r="R76" s="230"/>
      <c r="S76" s="230"/>
      <c r="T76" s="231"/>
      <c r="U76" s="87">
        <v>0</v>
      </c>
      <c r="V76" s="87">
        <v>0</v>
      </c>
      <c r="W76" s="87">
        <v>0</v>
      </c>
      <c r="X76" s="87">
        <v>0</v>
      </c>
      <c r="Y76" s="87">
        <v>0</v>
      </c>
    </row>
    <row r="77" spans="1:25" x14ac:dyDescent="0.2">
      <c r="A77" s="239"/>
      <c r="B77" s="239"/>
      <c r="C77" s="240"/>
      <c r="D77" s="46" t="s">
        <v>84</v>
      </c>
      <c r="E77" s="104">
        <f t="shared" si="31"/>
        <v>0</v>
      </c>
      <c r="F77" s="48">
        <f t="shared" si="31"/>
        <v>0</v>
      </c>
      <c r="G77" s="48">
        <f t="shared" si="35"/>
        <v>0</v>
      </c>
      <c r="H77" s="48">
        <f t="shared" si="43"/>
        <v>0</v>
      </c>
      <c r="I77" s="47">
        <f>ROUND('Other Activity Calulations'!$I$8*Alts_POE*$C$42, 0)</f>
        <v>0</v>
      </c>
      <c r="J77" s="89">
        <f t="shared" ref="J77:J78" si="53">ROUND(($N77*0.2),0)</f>
        <v>0</v>
      </c>
      <c r="K77" s="89">
        <f t="shared" si="52"/>
        <v>0</v>
      </c>
      <c r="L77" s="89">
        <f t="shared" ref="L77:L78" si="54">ROUND(($N77*0.3),0)</f>
        <v>0</v>
      </c>
      <c r="M77" s="89">
        <f t="shared" ref="M77:M78" si="55">IF(SUM($J77:$L77)+ROUND(($N77*0.3),0)&lt;&gt;$N77, $N77-SUM($J77:$L77), ROUND(($N77*0.3),0))</f>
        <v>0</v>
      </c>
      <c r="N77" s="89">
        <f t="shared" ref="N77:N78" si="56">I77</f>
        <v>0</v>
      </c>
      <c r="O77" s="224"/>
      <c r="P77" s="225"/>
      <c r="Q77" s="225"/>
      <c r="R77" s="225"/>
      <c r="S77" s="225"/>
      <c r="T77" s="226"/>
      <c r="U77" s="89">
        <v>0</v>
      </c>
      <c r="V77" s="89">
        <v>0</v>
      </c>
      <c r="W77" s="89">
        <v>0</v>
      </c>
      <c r="X77" s="89">
        <v>0</v>
      </c>
      <c r="Y77" s="89">
        <v>0</v>
      </c>
    </row>
    <row r="78" spans="1:25" x14ac:dyDescent="0.2">
      <c r="A78" s="239"/>
      <c r="B78" s="239"/>
      <c r="C78" s="240"/>
      <c r="D78" s="49" t="s">
        <v>85</v>
      </c>
      <c r="E78" s="105">
        <f t="shared" si="31"/>
        <v>0</v>
      </c>
      <c r="F78" s="51">
        <f t="shared" si="31"/>
        <v>0</v>
      </c>
      <c r="G78" s="51">
        <f t="shared" si="35"/>
        <v>0</v>
      </c>
      <c r="H78" s="51">
        <f t="shared" si="43"/>
        <v>0</v>
      </c>
      <c r="I78" s="50">
        <f>ROUND('Other Activity Calulations'!$I$8*Alts_POE*$C$60, 0)</f>
        <v>0</v>
      </c>
      <c r="J78" s="90">
        <f t="shared" si="53"/>
        <v>0</v>
      </c>
      <c r="K78" s="90">
        <f t="shared" si="52"/>
        <v>0</v>
      </c>
      <c r="L78" s="90">
        <f t="shared" si="54"/>
        <v>0</v>
      </c>
      <c r="M78" s="90">
        <f t="shared" si="55"/>
        <v>0</v>
      </c>
      <c r="N78" s="90">
        <f t="shared" si="56"/>
        <v>0</v>
      </c>
      <c r="O78" s="227"/>
      <c r="P78" s="228"/>
      <c r="Q78" s="228"/>
      <c r="R78" s="228"/>
      <c r="S78" s="228"/>
      <c r="T78" s="229"/>
      <c r="U78" s="90">
        <v>0</v>
      </c>
      <c r="V78" s="90">
        <v>0</v>
      </c>
      <c r="W78" s="90">
        <v>0</v>
      </c>
      <c r="X78" s="90">
        <v>0</v>
      </c>
      <c r="Y78" s="90">
        <v>0</v>
      </c>
    </row>
    <row r="79" spans="1:25" ht="30" x14ac:dyDescent="0.2">
      <c r="A79" s="239"/>
      <c r="B79" s="239"/>
      <c r="C79" s="240"/>
      <c r="D79" s="42" t="s">
        <v>86</v>
      </c>
      <c r="E79" s="38">
        <f>SUM(E80:E82)</f>
        <v>0</v>
      </c>
      <c r="F79" s="38">
        <f t="shared" ref="F79:H79" si="57">SUM(F80:F82)</f>
        <v>0</v>
      </c>
      <c r="G79" s="38">
        <f t="shared" si="57"/>
        <v>0</v>
      </c>
      <c r="H79" s="38">
        <f t="shared" si="57"/>
        <v>0</v>
      </c>
      <c r="I79" s="38">
        <f>SUM(I80:I82)</f>
        <v>0</v>
      </c>
      <c r="J79" s="38">
        <f t="shared" ref="J79:M79" si="58">SUM(J80:J82)</f>
        <v>0</v>
      </c>
      <c r="K79" s="38">
        <f t="shared" si="58"/>
        <v>0</v>
      </c>
      <c r="L79" s="38">
        <f t="shared" si="58"/>
        <v>0</v>
      </c>
      <c r="M79" s="38">
        <f t="shared" si="58"/>
        <v>0</v>
      </c>
      <c r="N79" s="38">
        <f>SUM(IF(OR(ISBLANK($N$80), $N$80=0), $I$80, $N$80), IF(OR(ISBLANK($N$81), $N$81=0), $I$81, $N$81), IF(OR(ISBLANK($N$82), $N$82=0), $I$82, $N$82))</f>
        <v>0</v>
      </c>
      <c r="O79" s="203"/>
      <c r="P79" s="204"/>
      <c r="Q79" s="204"/>
      <c r="R79" s="204"/>
      <c r="S79" s="204"/>
      <c r="T79" s="205"/>
      <c r="U79" s="142">
        <f>SUM(U80:U82)</f>
        <v>0</v>
      </c>
      <c r="V79" s="142">
        <f t="shared" ref="V79" si="59">SUM(V80:V82)</f>
        <v>0</v>
      </c>
      <c r="W79" s="142">
        <f t="shared" ref="W79" si="60">SUM(W80:W82)</f>
        <v>0</v>
      </c>
      <c r="X79" s="142">
        <f t="shared" ref="X79" si="61">SUM(X80:X82)</f>
        <v>0</v>
      </c>
      <c r="Y79" s="142">
        <f t="shared" ref="Y79" si="62">SUM(Y80:Y82)</f>
        <v>0</v>
      </c>
    </row>
    <row r="80" spans="1:25" ht="30" x14ac:dyDescent="0.2">
      <c r="A80" s="239"/>
      <c r="B80" s="239"/>
      <c r="C80" s="240"/>
      <c r="D80" s="44" t="s">
        <v>87</v>
      </c>
      <c r="E80" s="101">
        <f>ROUND(($I80*0.35),0)</f>
        <v>0</v>
      </c>
      <c r="F80" s="45">
        <f>ROUND(($I80*0.35),0)</f>
        <v>0</v>
      </c>
      <c r="G80" s="45">
        <f>ROUND(($I80*0.2),0)</f>
        <v>0</v>
      </c>
      <c r="H80" s="45">
        <f>IF(SUM($E80:$G80)+ROUND(($I80*0.1),0)&lt;&gt;$I80, $I80-SUM($E80:$G80), ROUND(($I80*0.1),0))</f>
        <v>0</v>
      </c>
      <c r="I80" s="45">
        <f>ROUND('Other Activity Calulations'!$F$4*Info_POE*$C$24, 0)</f>
        <v>0</v>
      </c>
      <c r="J80" s="101">
        <f>ROUND(($N80*0.35),0)</f>
        <v>0</v>
      </c>
      <c r="K80" s="45">
        <f>ROUND(($N80*0.35),0)</f>
        <v>0</v>
      </c>
      <c r="L80" s="45">
        <f>ROUND(($N80*0.2),0)</f>
        <v>0</v>
      </c>
      <c r="M80" s="45">
        <f>IF(SUM($J80:$L80)+ROUND(($N80*0.1),0)&lt;&gt;$N80, $N80-SUM($J80:$L80), ROUND(($N80*0.1),0))</f>
        <v>0</v>
      </c>
      <c r="N80" s="87">
        <f>I80</f>
        <v>0</v>
      </c>
      <c r="O80" s="230"/>
      <c r="P80" s="230"/>
      <c r="Q80" s="230"/>
      <c r="R80" s="230"/>
      <c r="S80" s="230"/>
      <c r="T80" s="231"/>
      <c r="U80" s="87">
        <v>0</v>
      </c>
      <c r="V80" s="87">
        <v>0</v>
      </c>
      <c r="W80" s="87">
        <v>0</v>
      </c>
      <c r="X80" s="87">
        <v>0</v>
      </c>
      <c r="Y80" s="87">
        <v>0</v>
      </c>
    </row>
    <row r="81" spans="1:25" ht="30" x14ac:dyDescent="0.2">
      <c r="A81" s="239"/>
      <c r="B81" s="239"/>
      <c r="C81" s="240"/>
      <c r="D81" s="46" t="s">
        <v>88</v>
      </c>
      <c r="E81" s="104">
        <f t="shared" ref="E81:F82" si="63">ROUND(($I81*0.35),0)</f>
        <v>0</v>
      </c>
      <c r="F81" s="48">
        <f t="shared" si="63"/>
        <v>0</v>
      </c>
      <c r="G81" s="48">
        <f t="shared" ref="G81:G82" si="64">ROUND(($I81*0.2),0)</f>
        <v>0</v>
      </c>
      <c r="H81" s="48">
        <f>IF(SUM($E81:$G81)+ROUND(($I81*0.1),0)&lt;&gt;$I81, $I81-SUM($E81:$G81), ROUND(($I81*0.1),0))</f>
        <v>0</v>
      </c>
      <c r="I81" s="48">
        <f>ROUND('Other Activity Calulations'!$F$4*Info_POE*$C$42, 0)</f>
        <v>0</v>
      </c>
      <c r="J81" s="48">
        <f t="shared" ref="J81:K86" si="65">ROUND(($N81*0.35),0)</f>
        <v>0</v>
      </c>
      <c r="K81" s="48">
        <f t="shared" si="65"/>
        <v>0</v>
      </c>
      <c r="L81" s="48">
        <f t="shared" ref="L81:L86" si="66">ROUND(($N81*0.2),0)</f>
        <v>0</v>
      </c>
      <c r="M81" s="48">
        <f>IF(SUM($J81:$L81)+ROUND(($N81*0.1),0)&lt;&gt;$N81, $N81-SUM($J81:$L81), ROUND(($N81*0.1),0))</f>
        <v>0</v>
      </c>
      <c r="N81" s="48">
        <f t="shared" ref="N81:N82" si="67">I81</f>
        <v>0</v>
      </c>
      <c r="O81" s="224"/>
      <c r="P81" s="225"/>
      <c r="Q81" s="225"/>
      <c r="R81" s="225"/>
      <c r="S81" s="225"/>
      <c r="T81" s="226"/>
      <c r="U81" s="89">
        <v>0</v>
      </c>
      <c r="V81" s="89">
        <v>0</v>
      </c>
      <c r="W81" s="89">
        <v>0</v>
      </c>
      <c r="X81" s="89">
        <v>0</v>
      </c>
      <c r="Y81" s="89">
        <v>0</v>
      </c>
    </row>
    <row r="82" spans="1:25" ht="30" x14ac:dyDescent="0.2">
      <c r="A82" s="239"/>
      <c r="B82" s="239"/>
      <c r="C82" s="240"/>
      <c r="D82" s="49" t="s">
        <v>89</v>
      </c>
      <c r="E82" s="105">
        <f t="shared" si="63"/>
        <v>0</v>
      </c>
      <c r="F82" s="51">
        <f t="shared" si="63"/>
        <v>0</v>
      </c>
      <c r="G82" s="51">
        <f t="shared" si="64"/>
        <v>0</v>
      </c>
      <c r="H82" s="51">
        <f>IF(SUM($E82:$G82)+ROUND(($I82*0.1),0)&lt;&gt;$I82, $I82-SUM($E82:$G82), ROUND(($I82*0.1),0))</f>
        <v>0</v>
      </c>
      <c r="I82" s="51">
        <f>ROUND('Other Activity Calulations'!$F$4*Info_POE*$C$60, 0)</f>
        <v>0</v>
      </c>
      <c r="J82" s="51">
        <f t="shared" si="65"/>
        <v>0</v>
      </c>
      <c r="K82" s="51">
        <f t="shared" si="65"/>
        <v>0</v>
      </c>
      <c r="L82" s="51">
        <f t="shared" si="66"/>
        <v>0</v>
      </c>
      <c r="M82" s="51">
        <f>IF(SUM($J82:$L82)+ROUND(($N82*0.1),0)&lt;&gt;$N82, $N82-SUM($J82:$L82), ROUND(($N82*0.1),0))</f>
        <v>0</v>
      </c>
      <c r="N82" s="51">
        <f t="shared" si="67"/>
        <v>0</v>
      </c>
      <c r="O82" s="227"/>
      <c r="P82" s="228"/>
      <c r="Q82" s="228"/>
      <c r="R82" s="228"/>
      <c r="S82" s="228"/>
      <c r="T82" s="229"/>
      <c r="U82" s="90">
        <v>0</v>
      </c>
      <c r="V82" s="90">
        <v>0</v>
      </c>
      <c r="W82" s="90">
        <v>0</v>
      </c>
      <c r="X82" s="90">
        <v>0</v>
      </c>
      <c r="Y82" s="90">
        <v>0</v>
      </c>
    </row>
    <row r="83" spans="1:25" ht="45" x14ac:dyDescent="0.2">
      <c r="A83" s="239"/>
      <c r="B83" s="239"/>
      <c r="C83" s="240"/>
      <c r="D83" s="42" t="s">
        <v>90</v>
      </c>
      <c r="E83" s="38">
        <f>SUM(E84:E86)</f>
        <v>0</v>
      </c>
      <c r="F83" s="38">
        <f t="shared" ref="F83:H83" si="68">SUM(F84:F86)</f>
        <v>0</v>
      </c>
      <c r="G83" s="38">
        <f t="shared" si="68"/>
        <v>0</v>
      </c>
      <c r="H83" s="38">
        <f t="shared" si="68"/>
        <v>0</v>
      </c>
      <c r="I83" s="38">
        <f>SUM(I84:I86)</f>
        <v>0</v>
      </c>
      <c r="J83" s="38">
        <f t="shared" ref="J83:M83" si="69">SUM(J84:J86)</f>
        <v>0</v>
      </c>
      <c r="K83" s="38">
        <f t="shared" si="69"/>
        <v>0</v>
      </c>
      <c r="L83" s="38">
        <f t="shared" si="69"/>
        <v>0</v>
      </c>
      <c r="M83" s="38">
        <f t="shared" si="69"/>
        <v>0</v>
      </c>
      <c r="N83" s="38">
        <f>SUM(IF(OR(ISBLANK($N$84), $N$84=0), $I$84, $N$84), IF(OR(ISBLANK($N$85), $N$85=0), $I$85, $N$85), IF(OR(ISBLANK($N$86), $N$86=0), $I$86, $N$86))</f>
        <v>0</v>
      </c>
      <c r="O83" s="203"/>
      <c r="P83" s="204"/>
      <c r="Q83" s="204"/>
      <c r="R83" s="204"/>
      <c r="S83" s="204"/>
      <c r="T83" s="205"/>
      <c r="U83" s="142">
        <f>SUM(U84:U86)</f>
        <v>0</v>
      </c>
      <c r="V83" s="142">
        <f t="shared" ref="V83" si="70">SUM(V84:V86)</f>
        <v>0</v>
      </c>
      <c r="W83" s="142">
        <f t="shared" ref="W83" si="71">SUM(W84:W86)</f>
        <v>0</v>
      </c>
      <c r="X83" s="142">
        <f t="shared" ref="X83" si="72">SUM(X84:X86)</f>
        <v>0</v>
      </c>
      <c r="Y83" s="142">
        <f t="shared" ref="Y83" si="73">SUM(Y84:Y86)</f>
        <v>0</v>
      </c>
    </row>
    <row r="84" spans="1:25" ht="45" x14ac:dyDescent="0.2">
      <c r="A84" s="239"/>
      <c r="B84" s="239"/>
      <c r="C84" s="240"/>
      <c r="D84" s="44" t="s">
        <v>91</v>
      </c>
      <c r="E84" s="101">
        <f>ROUND(($I84*0.35),0)</f>
        <v>0</v>
      </c>
      <c r="F84" s="45">
        <f>ROUND(($I84*0.35),0)</f>
        <v>0</v>
      </c>
      <c r="G84" s="45">
        <f>ROUND(($I84*0.2),0)</f>
        <v>0</v>
      </c>
      <c r="H84" s="101">
        <f>IF(SUM($E84:$G84)+ROUND(($I84*0.1),0)&lt;&gt;$I84, $I84-SUM($E84:$G84), ROUND(($I84*0.1),0))</f>
        <v>0</v>
      </c>
      <c r="I84" s="45">
        <f>ROUND('Other Activity Calulations'!$G$4*Info_POE*'Estimated Performance Measures'!$C$24, 0)</f>
        <v>0</v>
      </c>
      <c r="J84" s="101">
        <f>ROUND(($N84*0.35),0)</f>
        <v>0</v>
      </c>
      <c r="K84" s="45">
        <f>ROUND(($N84*0.35),0)</f>
        <v>0</v>
      </c>
      <c r="L84" s="45">
        <f>ROUND(($N84*0.2),0)</f>
        <v>0</v>
      </c>
      <c r="M84" s="45">
        <f>IF(SUM($J84:$L84)+ROUND(($N84*0.1),0)&lt;&gt;$N84, $N84-SUM($J84:$L84), ROUND(($N84*0.1),0))</f>
        <v>0</v>
      </c>
      <c r="N84" s="87">
        <f>I84</f>
        <v>0</v>
      </c>
      <c r="O84" s="230"/>
      <c r="P84" s="230"/>
      <c r="Q84" s="230"/>
      <c r="R84" s="230"/>
      <c r="S84" s="230"/>
      <c r="T84" s="231"/>
      <c r="U84" s="87">
        <v>0</v>
      </c>
      <c r="V84" s="87">
        <v>0</v>
      </c>
      <c r="W84" s="87">
        <v>0</v>
      </c>
      <c r="X84" s="87">
        <v>0</v>
      </c>
      <c r="Y84" s="87">
        <v>0</v>
      </c>
    </row>
    <row r="85" spans="1:25" ht="45" x14ac:dyDescent="0.2">
      <c r="A85" s="239"/>
      <c r="B85" s="239"/>
      <c r="C85" s="240"/>
      <c r="D85" s="46" t="s">
        <v>92</v>
      </c>
      <c r="E85" s="104">
        <f t="shared" ref="E85:F86" si="74">ROUND(($I85*0.35),0)</f>
        <v>0</v>
      </c>
      <c r="F85" s="48">
        <f t="shared" si="74"/>
        <v>0</v>
      </c>
      <c r="G85" s="48">
        <f t="shared" ref="G85:G86" si="75">ROUND(($I85*0.2),0)</f>
        <v>0</v>
      </c>
      <c r="H85" s="48">
        <f>IF(SUM($E85:$G85)+ROUND(($I85*0.1),0)&lt;&gt;$I85, $I85-SUM($E85:$G85), ROUND(($I85*0.1),0))</f>
        <v>0</v>
      </c>
      <c r="I85" s="48">
        <f>ROUND('Other Activity Calulations'!$G$4*Info_POE*'Estimated Performance Measures'!$C$42, 0)</f>
        <v>0</v>
      </c>
      <c r="J85" s="48">
        <f t="shared" si="65"/>
        <v>0</v>
      </c>
      <c r="K85" s="48">
        <f t="shared" si="65"/>
        <v>0</v>
      </c>
      <c r="L85" s="48">
        <f t="shared" si="66"/>
        <v>0</v>
      </c>
      <c r="M85" s="48">
        <f>IF(SUM($J85:$L85)+ROUND(($N85*0.1),0)&lt;&gt;$N85, $N85-SUM($J85:$L85), ROUND(($N85*0.1),0))</f>
        <v>0</v>
      </c>
      <c r="N85" s="48">
        <f t="shared" ref="N85:N86" si="76">I85</f>
        <v>0</v>
      </c>
      <c r="O85" s="224"/>
      <c r="P85" s="225"/>
      <c r="Q85" s="225"/>
      <c r="R85" s="225"/>
      <c r="S85" s="225"/>
      <c r="T85" s="226"/>
      <c r="U85" s="89">
        <v>0</v>
      </c>
      <c r="V85" s="89">
        <v>0</v>
      </c>
      <c r="W85" s="89">
        <v>0</v>
      </c>
      <c r="X85" s="89">
        <v>0</v>
      </c>
      <c r="Y85" s="89">
        <v>0</v>
      </c>
    </row>
    <row r="86" spans="1:25" ht="45" x14ac:dyDescent="0.2">
      <c r="A86" s="239"/>
      <c r="B86" s="239"/>
      <c r="C86" s="240"/>
      <c r="D86" s="49" t="s">
        <v>93</v>
      </c>
      <c r="E86" s="105">
        <f t="shared" si="74"/>
        <v>0</v>
      </c>
      <c r="F86" s="51">
        <f t="shared" si="74"/>
        <v>0</v>
      </c>
      <c r="G86" s="51">
        <f t="shared" si="75"/>
        <v>0</v>
      </c>
      <c r="H86" s="51">
        <f>IF(SUM($E86:$G86)+ROUND(($I86*0.1),0)&lt;&gt;$I86, $I86-SUM($E86:$G86), ROUND(($I86*0.1),0))</f>
        <v>0</v>
      </c>
      <c r="I86" s="51">
        <f>ROUND('Other Activity Calulations'!$G$4*Info_POE*'Estimated Performance Measures'!$C$60, 0)</f>
        <v>0</v>
      </c>
      <c r="J86" s="51">
        <f t="shared" si="65"/>
        <v>0</v>
      </c>
      <c r="K86" s="51">
        <f t="shared" si="65"/>
        <v>0</v>
      </c>
      <c r="L86" s="51">
        <f t="shared" si="66"/>
        <v>0</v>
      </c>
      <c r="M86" s="51">
        <f>IF(SUM($J86:$L86)+ROUND(($N86*0.1),0)&lt;&gt;$N86, $N86-SUM($J86:$L86), ROUND(($N86*0.1),0))</f>
        <v>0</v>
      </c>
      <c r="N86" s="51">
        <f t="shared" si="76"/>
        <v>0</v>
      </c>
      <c r="O86" s="227"/>
      <c r="P86" s="228"/>
      <c r="Q86" s="228"/>
      <c r="R86" s="228"/>
      <c r="S86" s="228"/>
      <c r="T86" s="229"/>
      <c r="U86" s="90">
        <v>0</v>
      </c>
      <c r="V86" s="90">
        <v>0</v>
      </c>
      <c r="W86" s="90">
        <v>0</v>
      </c>
      <c r="X86" s="90">
        <v>0</v>
      </c>
      <c r="Y86" s="90">
        <v>0</v>
      </c>
    </row>
    <row r="87" spans="1:25" ht="45" x14ac:dyDescent="0.2">
      <c r="A87" s="239"/>
      <c r="B87" s="239"/>
      <c r="C87" s="240"/>
      <c r="D87" s="42" t="s">
        <v>94</v>
      </c>
      <c r="E87" s="38">
        <f>SUM(E88:E90)</f>
        <v>0</v>
      </c>
      <c r="F87" s="38">
        <f t="shared" ref="F87:H87" si="77">SUM(F88:F90)</f>
        <v>0</v>
      </c>
      <c r="G87" s="38">
        <f t="shared" si="77"/>
        <v>0</v>
      </c>
      <c r="H87" s="38">
        <f t="shared" si="77"/>
        <v>0</v>
      </c>
      <c r="I87" s="52">
        <f>SUM(I88:I90)</f>
        <v>0</v>
      </c>
      <c r="J87" s="38">
        <f t="shared" ref="J87:M87" si="78">SUM(J88:J90)</f>
        <v>0</v>
      </c>
      <c r="K87" s="38">
        <f t="shared" si="78"/>
        <v>0</v>
      </c>
      <c r="L87" s="38">
        <f t="shared" si="78"/>
        <v>0</v>
      </c>
      <c r="M87" s="38">
        <f t="shared" si="78"/>
        <v>0</v>
      </c>
      <c r="N87" s="38">
        <f>SUM(IF(OR(ISBLANK($N$88), $N$88=0), $I$88, $N$88), IF(OR(ISBLANK($N$89), $N$89=0), $I$89, $N$89), IF(OR(ISBLANK($N$90), $N$90=0), $I$90, $N$90))</f>
        <v>0</v>
      </c>
      <c r="O87" s="203"/>
      <c r="P87" s="204"/>
      <c r="Q87" s="204"/>
      <c r="R87" s="204"/>
      <c r="S87" s="204"/>
      <c r="T87" s="205"/>
      <c r="U87" s="142">
        <f>SUM(U88:U90)</f>
        <v>0</v>
      </c>
      <c r="V87" s="142">
        <f t="shared" ref="V87" si="79">SUM(V88:V90)</f>
        <v>0</v>
      </c>
      <c r="W87" s="142">
        <f t="shared" ref="W87" si="80">SUM(W88:W90)</f>
        <v>0</v>
      </c>
      <c r="X87" s="142">
        <f t="shared" ref="X87" si="81">SUM(X88:X90)</f>
        <v>0</v>
      </c>
      <c r="Y87" s="142">
        <f t="shared" ref="Y87" si="82">SUM(Y88:Y90)</f>
        <v>0</v>
      </c>
    </row>
    <row r="88" spans="1:25" ht="45" x14ac:dyDescent="0.2">
      <c r="A88" s="239"/>
      <c r="B88" s="239"/>
      <c r="C88" s="240"/>
      <c r="D88" s="44" t="s">
        <v>95</v>
      </c>
      <c r="E88" s="101">
        <f t="shared" ref="E88:F88" si="83">ROUND(($I$88*0.35),0)</f>
        <v>0</v>
      </c>
      <c r="F88" s="45">
        <f t="shared" si="83"/>
        <v>0</v>
      </c>
      <c r="G88" s="45">
        <f>ROUND(($I$88*0.2),0)</f>
        <v>0</v>
      </c>
      <c r="H88" s="101">
        <f>IF(SUM($E88:$G88)+ROUND(($I88*0.1),0)&lt;&gt;$I88, $I88-SUM($E88:$G88), ROUND(($I88*0.1),0))</f>
        <v>0</v>
      </c>
      <c r="I88" s="45">
        <f>ROUND('Other Activity Calulations'!$I$4*Info_POE*'Estimated Performance Measures'!$C$24, 0)</f>
        <v>0</v>
      </c>
      <c r="J88" s="87">
        <f>ROUND(($N88*0.35),0)</f>
        <v>0</v>
      </c>
      <c r="K88" s="87">
        <f>ROUND(($N88*0.35),0)</f>
        <v>0</v>
      </c>
      <c r="L88" s="87">
        <f>ROUND(($N88*0.2),0)</f>
        <v>0</v>
      </c>
      <c r="M88" s="87">
        <f>IF(SUM($J88:$L88)+ROUND(($N88*0.1),0)&lt;&gt;$N88, $N88-SUM($J88:$L88), ROUND(($N88*0.1),0))</f>
        <v>0</v>
      </c>
      <c r="N88" s="87">
        <f>I88</f>
        <v>0</v>
      </c>
      <c r="O88" s="230"/>
      <c r="P88" s="230"/>
      <c r="Q88" s="230"/>
      <c r="R88" s="230"/>
      <c r="S88" s="230"/>
      <c r="T88" s="231"/>
      <c r="U88" s="87">
        <v>0</v>
      </c>
      <c r="V88" s="87">
        <v>0</v>
      </c>
      <c r="W88" s="87">
        <v>0</v>
      </c>
      <c r="X88" s="87">
        <v>0</v>
      </c>
      <c r="Y88" s="87">
        <v>0</v>
      </c>
    </row>
    <row r="89" spans="1:25" ht="45" x14ac:dyDescent="0.2">
      <c r="A89" s="239"/>
      <c r="B89" s="239"/>
      <c r="C89" s="240"/>
      <c r="D89" s="46" t="s">
        <v>96</v>
      </c>
      <c r="E89" s="104">
        <f>ROUND(($I$89*0.35),0)</f>
        <v>0</v>
      </c>
      <c r="F89" s="48">
        <f>ROUND(($I$89*0.35),0)</f>
        <v>0</v>
      </c>
      <c r="G89" s="48">
        <f>ROUND(($I$89*0.2),0)</f>
        <v>0</v>
      </c>
      <c r="H89" s="48">
        <f t="shared" ref="H89:H90" si="84">IF(SUM($E89:$G89)+ROUND(($I89*0.1),0)&lt;&gt;$I89, $I89-SUM($E89:$G89), ROUND(($I89*0.1),0))</f>
        <v>0</v>
      </c>
      <c r="I89" s="48">
        <f>ROUND('Other Activity Calulations'!$I$4*Info_POE*'Estimated Performance Measures'!$C$42, 0)</f>
        <v>0</v>
      </c>
      <c r="J89" s="89">
        <f t="shared" ref="J89:K90" si="85">ROUND(($N89*0.35),0)</f>
        <v>0</v>
      </c>
      <c r="K89" s="89">
        <f t="shared" si="85"/>
        <v>0</v>
      </c>
      <c r="L89" s="89">
        <f t="shared" ref="L89:L90" si="86">ROUND(($N89*0.2),0)</f>
        <v>0</v>
      </c>
      <c r="M89" s="89">
        <f>IF(SUM($J89:$L89)+ROUND(($N89*0.1),0)&lt;&gt;$N89, $N89-SUM($J89:$L89), ROUND(($N89*0.1),0))</f>
        <v>0</v>
      </c>
      <c r="N89" s="89">
        <f t="shared" ref="N89:N90" si="87">I89</f>
        <v>0</v>
      </c>
      <c r="O89" s="224"/>
      <c r="P89" s="225"/>
      <c r="Q89" s="225"/>
      <c r="R89" s="225"/>
      <c r="S89" s="225"/>
      <c r="T89" s="226"/>
      <c r="U89" s="89">
        <v>0</v>
      </c>
      <c r="V89" s="89">
        <v>0</v>
      </c>
      <c r="W89" s="89">
        <v>0</v>
      </c>
      <c r="X89" s="89">
        <v>0</v>
      </c>
      <c r="Y89" s="89">
        <v>0</v>
      </c>
    </row>
    <row r="90" spans="1:25" ht="45" x14ac:dyDescent="0.2">
      <c r="A90" s="239"/>
      <c r="B90" s="239"/>
      <c r="C90" s="240"/>
      <c r="D90" s="49" t="s">
        <v>97</v>
      </c>
      <c r="E90" s="105">
        <f>ROUND(($I$90*0.35),0)</f>
        <v>0</v>
      </c>
      <c r="F90" s="51">
        <f>ROUND(($I$90*0.35),0)</f>
        <v>0</v>
      </c>
      <c r="G90" s="51">
        <f>ROUND(($I$90*0.2),0)</f>
        <v>0</v>
      </c>
      <c r="H90" s="51">
        <f t="shared" si="84"/>
        <v>0</v>
      </c>
      <c r="I90" s="51">
        <f>ROUND('Other Activity Calulations'!$I$4*Info_POE*'Estimated Performance Measures'!$C$60, 0)</f>
        <v>0</v>
      </c>
      <c r="J90" s="90">
        <f t="shared" si="85"/>
        <v>0</v>
      </c>
      <c r="K90" s="90">
        <f t="shared" si="85"/>
        <v>0</v>
      </c>
      <c r="L90" s="90">
        <f t="shared" si="86"/>
        <v>0</v>
      </c>
      <c r="M90" s="90">
        <f>IF(SUM($J90:$L90)+ROUND(($N90*0.1),0)&lt;&gt;$N90, $N90-SUM($J90:$L90), ROUND(($N90*0.1),0))</f>
        <v>0</v>
      </c>
      <c r="N90" s="90">
        <f t="shared" si="87"/>
        <v>0</v>
      </c>
      <c r="O90" s="227"/>
      <c r="P90" s="228"/>
      <c r="Q90" s="228"/>
      <c r="R90" s="228"/>
      <c r="S90" s="228"/>
      <c r="T90" s="229"/>
      <c r="U90" s="90">
        <v>0</v>
      </c>
      <c r="V90" s="90">
        <v>0</v>
      </c>
      <c r="W90" s="90">
        <v>0</v>
      </c>
      <c r="X90" s="90">
        <v>0</v>
      </c>
      <c r="Y90" s="90">
        <v>0</v>
      </c>
    </row>
    <row r="91" spans="1:25" ht="45" x14ac:dyDescent="0.2">
      <c r="A91" s="239"/>
      <c r="B91" s="239"/>
      <c r="C91" s="240"/>
      <c r="D91" s="42" t="s">
        <v>98</v>
      </c>
      <c r="E91" s="38" t="e">
        <f>SUM(E92:E94)</f>
        <v>#DIV/0!</v>
      </c>
      <c r="F91" s="38" t="e">
        <f t="shared" ref="F91:H91" si="88">SUM(F92:F94)</f>
        <v>#DIV/0!</v>
      </c>
      <c r="G91" s="38" t="e">
        <f t="shared" si="88"/>
        <v>#DIV/0!</v>
      </c>
      <c r="H91" s="38" t="e">
        <f t="shared" si="88"/>
        <v>#DIV/0!</v>
      </c>
      <c r="I91" s="38">
        <v>48</v>
      </c>
      <c r="J91" s="38" t="e">
        <f t="shared" ref="J91:M91" si="89">SUM(J92:J94)</f>
        <v>#DIV/0!</v>
      </c>
      <c r="K91" s="38" t="e">
        <f t="shared" si="89"/>
        <v>#DIV/0!</v>
      </c>
      <c r="L91" s="38" t="e">
        <f t="shared" si="89"/>
        <v>#DIV/0!</v>
      </c>
      <c r="M91" s="38" t="e">
        <f t="shared" si="89"/>
        <v>#DIV/0!</v>
      </c>
      <c r="N91" s="38" t="e">
        <f>SUM(N92:N94)</f>
        <v>#DIV/0!</v>
      </c>
      <c r="O91" s="209"/>
      <c r="P91" s="168"/>
      <c r="Q91" s="168"/>
      <c r="R91" s="168"/>
      <c r="S91" s="168"/>
      <c r="T91" s="210"/>
      <c r="U91" s="142">
        <f>SUM(U92:U94)</f>
        <v>0</v>
      </c>
      <c r="V91" s="142">
        <f t="shared" ref="V91" si="90">SUM(V92:V94)</f>
        <v>0</v>
      </c>
      <c r="W91" s="142">
        <f t="shared" ref="W91" si="91">SUM(W92:W94)</f>
        <v>0</v>
      </c>
      <c r="X91" s="142">
        <f t="shared" ref="X91" si="92">SUM(X92:X94)</f>
        <v>0</v>
      </c>
      <c r="Y91" s="142">
        <f t="shared" ref="Y91" si="93">SUM(Y92:Y94)</f>
        <v>0</v>
      </c>
    </row>
    <row r="92" spans="1:25" ht="45" x14ac:dyDescent="0.2">
      <c r="A92" s="239"/>
      <c r="B92" s="239"/>
      <c r="C92" s="240"/>
      <c r="D92" s="44" t="s">
        <v>99</v>
      </c>
      <c r="E92" s="53" t="e">
        <f>$I$92/4</f>
        <v>#DIV/0!</v>
      </c>
      <c r="F92" s="53" t="e">
        <f t="shared" ref="F92:H92" si="94">$I$92/4</f>
        <v>#DIV/0!</v>
      </c>
      <c r="G92" s="53" t="e">
        <f t="shared" si="94"/>
        <v>#DIV/0!</v>
      </c>
      <c r="H92" s="53" t="e">
        <f t="shared" si="94"/>
        <v>#DIV/0!</v>
      </c>
      <c r="I92" s="53" t="e">
        <f>48*(IF(ISBLANK(YPU_1) = TRUE, 0, 1) + IF(ISBLANK(YPU_2) = TRUE, 0, 1) + IF(ISBLANK(YPU_3) = TRUE, 0, 1))/(IF(ISBLANK(YPU_1) = TRUE, 0, 1) + IF(ISBLANK(YPU_2) = TRUE, 0, 1) + IF(ISBLANK(YPU_3) = TRUE, 0, 1) + IF(ISBLANK(YPS_1) = TRUE, 0, 1) + IF(ISBLANK(YPS_2) = TRUE, 0, 1) + IF(ISBLANK(YPS_3) = TRUE, 0, 1) + IF(ISBLANK(YPI_1) = TRUE, 0, 1) + IF(ISBLANK(YPI_2) = TRUE, 0, 1) + IF(ISBLANK(YPI_3) = TRUE, 0, 1))</f>
        <v>#DIV/0!</v>
      </c>
      <c r="J92" s="93" t="e">
        <f>$N$92/4</f>
        <v>#DIV/0!</v>
      </c>
      <c r="K92" s="93" t="e">
        <f>$N$92/4</f>
        <v>#DIV/0!</v>
      </c>
      <c r="L92" s="93" t="e">
        <f>$N$92/4</f>
        <v>#DIV/0!</v>
      </c>
      <c r="M92" s="93" t="e">
        <f>$N$92/4</f>
        <v>#DIV/0!</v>
      </c>
      <c r="N92" s="94" t="e">
        <f>48*(IF(ISBLANK(YPU_1) = TRUE, 0, 1) + IF(ISBLANK(YPU_2) = TRUE, 0, 1) + IF(ISBLANK(YPU_3) = TRUE, 0, 1))/(IF(ISBLANK(YPU_1) = TRUE, 0, 1) + IF(ISBLANK(YPU_2) = TRUE, 0, 1) + IF(ISBLANK(YPU_3) = TRUE, 0, 1) + IF(ISBLANK(YPS_1) = TRUE, 0, 1) + IF(ISBLANK(YPS_2) = TRUE, 0, 1) + IF(ISBLANK(YPS_3) = TRUE, 0, 1) + IF(ISBLANK(YPI_1) = TRUE, 0, 1) + IF(ISBLANK(YPI_2) = TRUE, 0, 1) + IF(ISBLANK(YPI_3) = TRUE, 0, 1))</f>
        <v>#DIV/0!</v>
      </c>
      <c r="O92" s="230"/>
      <c r="P92" s="230"/>
      <c r="Q92" s="230"/>
      <c r="R92" s="230"/>
      <c r="S92" s="230"/>
      <c r="T92" s="231"/>
      <c r="U92" s="95">
        <v>0</v>
      </c>
      <c r="V92" s="87">
        <v>0</v>
      </c>
      <c r="W92" s="87">
        <v>0</v>
      </c>
      <c r="X92" s="87">
        <v>0</v>
      </c>
      <c r="Y92" s="87">
        <v>0</v>
      </c>
    </row>
    <row r="93" spans="1:25" ht="45" x14ac:dyDescent="0.2">
      <c r="A93" s="239"/>
      <c r="B93" s="239"/>
      <c r="C93" s="240"/>
      <c r="D93" s="54" t="s">
        <v>100</v>
      </c>
      <c r="E93" s="55" t="e">
        <f>$I$93/4</f>
        <v>#DIV/0!</v>
      </c>
      <c r="F93" s="55" t="e">
        <f t="shared" ref="F93:H93" si="95">$I$93/4</f>
        <v>#DIV/0!</v>
      </c>
      <c r="G93" s="55" t="e">
        <f t="shared" si="95"/>
        <v>#DIV/0!</v>
      </c>
      <c r="H93" s="55" t="e">
        <f t="shared" si="95"/>
        <v>#DIV/0!</v>
      </c>
      <c r="I93" s="55" t="e">
        <f>48*(IF(ISBLANK(YPS_1) = TRUE, 0, 1) + IF(ISBLANK(YPS_2) = TRUE, 0, 1) + IF(ISBLANK(YPS_3) = TRUE, 0, 1))/(IF(ISBLANK(YPU_1) = TRUE, 0, 1) + IF(ISBLANK(YPU_2) = TRUE, 0, 1) + IF(ISBLANK(YPU_3) = TRUE, 0, 1) + IF(ISBLANK(YPS_1) = TRUE, 0, 1) + IF(ISBLANK(YPS_2) = TRUE, 0, 1) + IF(ISBLANK(YPS_3) = TRUE, 0, 1) + IF(ISBLANK(YPI_1) = TRUE, 0, 1) + IF(ISBLANK(YPI_2) = TRUE, 0, 1) + IF(ISBLANK(YPI_3) = TRUE, 0, 1))</f>
        <v>#DIV/0!</v>
      </c>
      <c r="J93" s="96" t="e">
        <f>$N$93/4</f>
        <v>#DIV/0!</v>
      </c>
      <c r="K93" s="96" t="e">
        <f>$N$93/4</f>
        <v>#DIV/0!</v>
      </c>
      <c r="L93" s="96" t="e">
        <f>$N$93/4</f>
        <v>#DIV/0!</v>
      </c>
      <c r="M93" s="96" t="e">
        <f>$N$93/4</f>
        <v>#DIV/0!</v>
      </c>
      <c r="N93" s="97" t="e">
        <f>48*(IF(ISBLANK(YPS_1) = TRUE, 0, 1) + IF(ISBLANK(YPS_2) = TRUE, 0, 1) + IF(ISBLANK(YPS_3) = TRUE, 0, 1))/(IF(ISBLANK(YPU_1) = TRUE, 0, 1) + IF(ISBLANK(YPU_2) = TRUE, 0, 1) + IF(ISBLANK(YPU_3) = TRUE, 0, 1) + IF(ISBLANK(YPS_1) = TRUE, 0, 1) + IF(ISBLANK(YPS_2) = TRUE, 0, 1) + IF(ISBLANK(YPS_3) = TRUE, 0, 1) + IF(ISBLANK(YPI_1) = TRUE, 0, 1) + IF(ISBLANK(YPI_2) = TRUE, 0, 1) + IF(ISBLANK(YPI_3) = TRUE, 0, 1))</f>
        <v>#DIV/0!</v>
      </c>
      <c r="O93" s="224"/>
      <c r="P93" s="225"/>
      <c r="Q93" s="225"/>
      <c r="R93" s="225"/>
      <c r="S93" s="225"/>
      <c r="T93" s="226"/>
      <c r="U93" s="98">
        <v>0</v>
      </c>
      <c r="V93" s="89">
        <v>0</v>
      </c>
      <c r="W93" s="89">
        <v>0</v>
      </c>
      <c r="X93" s="89">
        <v>0</v>
      </c>
      <c r="Y93" s="89">
        <v>0</v>
      </c>
    </row>
    <row r="94" spans="1:25" ht="45" x14ac:dyDescent="0.2">
      <c r="A94" s="239"/>
      <c r="B94" s="239"/>
      <c r="C94" s="240"/>
      <c r="D94" s="56" t="s">
        <v>101</v>
      </c>
      <c r="E94" s="57" t="e">
        <f>$I$94/4</f>
        <v>#DIV/0!</v>
      </c>
      <c r="F94" s="57" t="e">
        <f t="shared" ref="F94:H94" si="96">$I$94/4</f>
        <v>#DIV/0!</v>
      </c>
      <c r="G94" s="57" t="e">
        <f t="shared" si="96"/>
        <v>#DIV/0!</v>
      </c>
      <c r="H94" s="57" t="e">
        <f t="shared" si="96"/>
        <v>#DIV/0!</v>
      </c>
      <c r="I94" s="57" t="e">
        <f>48*(IF(ISBLANK(YPI_1) = TRUE, 0, 1) + IF(ISBLANK(YPI_2) = TRUE, 0, 1) + IF(ISBLANK(YPI_3) = TRUE, 0, 1))/(IF(ISBLANK(YPU_1) = TRUE, 0, 1) + IF(ISBLANK(YPU_2) = TRUE, 0, 1) + IF(ISBLANK(YPU_3) = TRUE, 0, 1) + IF(ISBLANK(YPS_1) = TRUE, 0, 1) + IF(ISBLANK(YPS_2) = TRUE, 0, 1) + IF(ISBLANK(YPS_3) = TRUE, 0, 1) + IF(ISBLANK(YPI_1) = TRUE, 0, 1) + IF(ISBLANK(YPI_2) = TRUE, 0, 1) + IF(ISBLANK(YPI_3) = TRUE, 0, 1))</f>
        <v>#DIV/0!</v>
      </c>
      <c r="J94" s="112" t="e">
        <f>$N$94/4</f>
        <v>#DIV/0!</v>
      </c>
      <c r="K94" s="112" t="e">
        <f>$N$94/4</f>
        <v>#DIV/0!</v>
      </c>
      <c r="L94" s="112" t="e">
        <f>$N$94/4</f>
        <v>#DIV/0!</v>
      </c>
      <c r="M94" s="112" t="e">
        <f>$N$94/4</f>
        <v>#DIV/0!</v>
      </c>
      <c r="N94" s="113" t="e">
        <f>48*(IF(ISBLANK(YPI_1) = TRUE, 0, 1) + IF(ISBLANK(YPI_2) = TRUE, 0, 1) + IF(ISBLANK(YPI_3) = TRUE, 0, 1))/(IF(ISBLANK(YPU_1) = TRUE, 0, 1) + IF(ISBLANK(YPU_2) = TRUE, 0, 1) + IF(ISBLANK(YPU_3) = TRUE, 0, 1) + IF(ISBLANK(YPS_1) = TRUE, 0, 1) + IF(ISBLANK(YPS_2) = TRUE, 0, 1) + IF(ISBLANK(YPS_3) = TRUE, 0, 1) + IF(ISBLANK(YPI_1) = TRUE, 0, 1) + IF(ISBLANK(YPI_2) = TRUE, 0, 1) + IF(ISBLANK(YPI_3) = TRUE, 0, 1))</f>
        <v>#DIV/0!</v>
      </c>
      <c r="O94" s="227"/>
      <c r="P94" s="228"/>
      <c r="Q94" s="228"/>
      <c r="R94" s="228"/>
      <c r="S94" s="228"/>
      <c r="T94" s="229"/>
      <c r="U94" s="99">
        <v>0</v>
      </c>
      <c r="V94" s="90">
        <v>0</v>
      </c>
      <c r="W94" s="90">
        <v>0</v>
      </c>
      <c r="X94" s="90">
        <v>0</v>
      </c>
      <c r="Y94" s="90">
        <v>0</v>
      </c>
    </row>
    <row r="95" spans="1:25" ht="45" x14ac:dyDescent="0.2">
      <c r="A95" s="239"/>
      <c r="B95" s="239"/>
      <c r="C95" s="240"/>
      <c r="D95" s="42" t="s">
        <v>102</v>
      </c>
      <c r="E95" s="38" t="e">
        <f>SUM(E96:E98)</f>
        <v>#N/A</v>
      </c>
      <c r="F95" s="38" t="e">
        <f t="shared" ref="F95:H95" si="97">SUM(F96:F98)</f>
        <v>#N/A</v>
      </c>
      <c r="G95" s="38" t="e">
        <f t="shared" si="97"/>
        <v>#N/A</v>
      </c>
      <c r="H95" s="38" t="e">
        <f t="shared" si="97"/>
        <v>#N/A</v>
      </c>
      <c r="I95" s="58" t="e">
        <f>SUM(I96:I98)</f>
        <v>#N/A</v>
      </c>
      <c r="J95" s="58" t="e">
        <f t="shared" ref="J95:M95" si="98">SUM(J96:J98)</f>
        <v>#N/A</v>
      </c>
      <c r="K95" s="58" t="e">
        <f t="shared" si="98"/>
        <v>#N/A</v>
      </c>
      <c r="L95" s="58" t="e">
        <f t="shared" si="98"/>
        <v>#N/A</v>
      </c>
      <c r="M95" s="58" t="e">
        <f t="shared" si="98"/>
        <v>#N/A</v>
      </c>
      <c r="N95" s="58" t="e">
        <f>SUM(N96:N98)</f>
        <v>#N/A</v>
      </c>
      <c r="O95" s="209"/>
      <c r="P95" s="168"/>
      <c r="Q95" s="168"/>
      <c r="R95" s="168"/>
      <c r="S95" s="168"/>
      <c r="T95" s="210"/>
      <c r="U95" s="142">
        <f>SUM(U96:U98)</f>
        <v>0</v>
      </c>
      <c r="V95" s="142">
        <f t="shared" ref="V95" si="99">SUM(V96:V98)</f>
        <v>0</v>
      </c>
      <c r="W95" s="142">
        <f t="shared" ref="W95" si="100">SUM(W96:W98)</f>
        <v>0</v>
      </c>
      <c r="X95" s="142">
        <f t="shared" ref="X95" si="101">SUM(X96:X98)</f>
        <v>0</v>
      </c>
      <c r="Y95" s="142">
        <f t="shared" ref="Y95" si="102">SUM(Y96:Y98)</f>
        <v>0</v>
      </c>
    </row>
    <row r="96" spans="1:25" ht="45" x14ac:dyDescent="0.2">
      <c r="A96" s="239"/>
      <c r="B96" s="239"/>
      <c r="C96" s="240"/>
      <c r="D96" s="44" t="s">
        <v>103</v>
      </c>
      <c r="E96" s="106" t="e">
        <f>ROUND($I$96*0.25, 0)</f>
        <v>#N/A</v>
      </c>
      <c r="F96" s="53" t="e">
        <f>ROUND($I$96*0.25, 0)</f>
        <v>#N/A</v>
      </c>
      <c r="G96" s="53" t="e">
        <f>ROUND($I$96*0.25, 0)</f>
        <v>#N/A</v>
      </c>
      <c r="H96" s="106" t="e">
        <f>IF(SUM($E96:$G96)+ROUND($I$96*0.25, 0)&lt;&gt;$I96, $I96-SUM($E96:$G96), ROUND($I$96*0.25, 0))</f>
        <v>#N/A</v>
      </c>
      <c r="I96" s="53" t="e">
        <f>ROUND(VLOOKUP(Region,'Tobacco Compliance Calcs'!$L$8:$T$20, 2, FALSE)*$C$24, 0)</f>
        <v>#N/A</v>
      </c>
      <c r="J96" s="93" t="e">
        <f>ROUND($N$96*0.25, 0)</f>
        <v>#N/A</v>
      </c>
      <c r="K96" s="93" t="e">
        <f>ROUND($N$96*0.25, 0)</f>
        <v>#N/A</v>
      </c>
      <c r="L96" s="93" t="e">
        <f>ROUND($N$96*0.25, 0)</f>
        <v>#N/A</v>
      </c>
      <c r="M96" s="93" t="e">
        <f>IF(SUM($J96:$L96)+ROUND($N$96*0.25, 0)&lt;&gt;$N96, $N96-SUM($J96:$L96),ROUND($N$96*0.25, 0))</f>
        <v>#N/A</v>
      </c>
      <c r="N96" s="93" t="e">
        <f>I96</f>
        <v>#N/A</v>
      </c>
      <c r="O96" s="230"/>
      <c r="P96" s="230"/>
      <c r="Q96" s="230"/>
      <c r="R96" s="230"/>
      <c r="S96" s="230"/>
      <c r="T96" s="231"/>
      <c r="U96" s="93">
        <v>0</v>
      </c>
      <c r="V96" s="93">
        <v>0</v>
      </c>
      <c r="W96" s="93">
        <v>0</v>
      </c>
      <c r="X96" s="93">
        <v>0</v>
      </c>
      <c r="Y96" s="93">
        <v>0</v>
      </c>
    </row>
    <row r="97" spans="1:25" ht="45" x14ac:dyDescent="0.2">
      <c r="A97" s="239"/>
      <c r="B97" s="239"/>
      <c r="C97" s="240"/>
      <c r="D97" s="54" t="s">
        <v>104</v>
      </c>
      <c r="E97" s="107" t="e">
        <f>ROUND($I$97*0.25, 0)</f>
        <v>#N/A</v>
      </c>
      <c r="F97" s="55" t="e">
        <f>ROUND($I$97*0.25, 0)</f>
        <v>#N/A</v>
      </c>
      <c r="G97" s="55" t="e">
        <f>ROUND($I$97*0.25, 0)</f>
        <v>#N/A</v>
      </c>
      <c r="H97" s="107" t="e">
        <f>IF(SUM($E97:$G97)+ROUND($I$96*0.25, 0)&lt;&gt;$I97, $I97-SUM($E97:$G97), ROUND($I$96*0.25, 0))</f>
        <v>#N/A</v>
      </c>
      <c r="I97" s="55" t="e">
        <f>ROUND(VLOOKUP(Region,'Tobacco Compliance Calcs'!$L$8:$T$20, 2, FALSE)*$C$42, 0)</f>
        <v>#N/A</v>
      </c>
      <c r="J97" s="96" t="e">
        <f>ROUND($N$97*0.25, 0)</f>
        <v>#N/A</v>
      </c>
      <c r="K97" s="96" t="e">
        <f>ROUND($N$97*0.25, 0)</f>
        <v>#N/A</v>
      </c>
      <c r="L97" s="96" t="e">
        <f>ROUND($N$97*0.25, 0)</f>
        <v>#N/A</v>
      </c>
      <c r="M97" s="96" t="e">
        <f>IF(SUM($J97:$L97)+ROUND($N$97*0.25, 0)&lt;&gt;$N97, $N97-SUM($J97:$L97),ROUND($N$97*0.25, 0))</f>
        <v>#N/A</v>
      </c>
      <c r="N97" s="96" t="e">
        <f t="shared" ref="N97:N98" si="103">I97</f>
        <v>#N/A</v>
      </c>
      <c r="O97" s="224"/>
      <c r="P97" s="225"/>
      <c r="Q97" s="225"/>
      <c r="R97" s="225"/>
      <c r="S97" s="225"/>
      <c r="T97" s="226"/>
      <c r="U97" s="96">
        <v>0</v>
      </c>
      <c r="V97" s="96">
        <v>0</v>
      </c>
      <c r="W97" s="96">
        <v>0</v>
      </c>
      <c r="X97" s="96">
        <v>0</v>
      </c>
      <c r="Y97" s="96">
        <v>0</v>
      </c>
    </row>
    <row r="98" spans="1:25" ht="45" x14ac:dyDescent="0.2">
      <c r="A98" s="239"/>
      <c r="B98" s="239"/>
      <c r="C98" s="240"/>
      <c r="D98" s="56" t="s">
        <v>105</v>
      </c>
      <c r="E98" s="108" t="e">
        <f>ROUND($I$98*0.25, 0)</f>
        <v>#N/A</v>
      </c>
      <c r="F98" s="57" t="e">
        <f>ROUND($I$98*0.25, 0)</f>
        <v>#N/A</v>
      </c>
      <c r="G98" s="57" t="e">
        <f>ROUND($I$98*0.25, 0)</f>
        <v>#N/A</v>
      </c>
      <c r="H98" s="108" t="e">
        <f>IF(SUM($E98:$G98)+ROUND($I$96*0.25, 0)&lt;&gt;$I98, $I98-SUM($E98:$G98), ROUND($I$96*0.25, 0))</f>
        <v>#N/A</v>
      </c>
      <c r="I98" s="57" t="e">
        <f>ROUND(VLOOKUP(Region,'Tobacco Compliance Calcs'!$L$8:$T$20, 2, FALSE)*$C$60, 0)</f>
        <v>#N/A</v>
      </c>
      <c r="J98" s="112" t="e">
        <f>ROUND($N$98*0.25, 0)</f>
        <v>#N/A</v>
      </c>
      <c r="K98" s="112" t="e">
        <f>ROUND($N$98*0.25, 0)</f>
        <v>#N/A</v>
      </c>
      <c r="L98" s="112" t="e">
        <f>ROUND($N$98*0.25, 0)</f>
        <v>#N/A</v>
      </c>
      <c r="M98" s="112" t="e">
        <f>IF(SUM($J98:$L98)+ROUND($N$98*0.25, 0)&lt;&gt;$N98, $N98-SUM($J98:$L98),ROUND($N$98*0.25, 0))</f>
        <v>#N/A</v>
      </c>
      <c r="N98" s="112" t="e">
        <f t="shared" si="103"/>
        <v>#N/A</v>
      </c>
      <c r="O98" s="227"/>
      <c r="P98" s="228"/>
      <c r="Q98" s="228"/>
      <c r="R98" s="228"/>
      <c r="S98" s="228"/>
      <c r="T98" s="229"/>
      <c r="U98" s="112">
        <v>0</v>
      </c>
      <c r="V98" s="112">
        <v>0</v>
      </c>
      <c r="W98" s="112">
        <v>0</v>
      </c>
      <c r="X98" s="112">
        <v>0</v>
      </c>
      <c r="Y98" s="112">
        <v>0</v>
      </c>
    </row>
    <row r="99" spans="1:25" x14ac:dyDescent="0.2">
      <c r="A99" s="232" t="s">
        <v>106</v>
      </c>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row>
    <row r="101" spans="1:25" x14ac:dyDescent="0.2">
      <c r="E101" s="1"/>
      <c r="F101" s="1"/>
    </row>
  </sheetData>
  <sheetProtection algorithmName="SHA-512" hashValue="uaqBEeGbyWZC81pEZeBXTjErnBdixVQgz+n2BLcNjCTsrAdGMSA/00OqR4vsFanTxTMJd7wj1oybDUMCgmAdcw==" saltValue="jqW538LbD9/PIKKUlksN5w==" spinCount="100000" sheet="1" objects="1" scenarios="1"/>
  <mergeCells count="205">
    <mergeCell ref="O98:T98"/>
    <mergeCell ref="U11:Y11"/>
    <mergeCell ref="O12:T12"/>
    <mergeCell ref="A13:B14"/>
    <mergeCell ref="C13:C14"/>
    <mergeCell ref="O13:T13"/>
    <mergeCell ref="O14:T14"/>
    <mergeCell ref="A24:B27"/>
    <mergeCell ref="C24:C27"/>
    <mergeCell ref="D24:D25"/>
    <mergeCell ref="E24:I24"/>
    <mergeCell ref="J24:N24"/>
    <mergeCell ref="U15:Y15"/>
    <mergeCell ref="O16:T16"/>
    <mergeCell ref="A17:B18"/>
    <mergeCell ref="C17:C18"/>
    <mergeCell ref="O17:T17"/>
    <mergeCell ref="O18:T18"/>
    <mergeCell ref="A31:B32"/>
    <mergeCell ref="C31:C32"/>
    <mergeCell ref="O15:T15"/>
    <mergeCell ref="U33:Y33"/>
    <mergeCell ref="O29:T29"/>
    <mergeCell ref="U29:Y29"/>
    <mergeCell ref="C4:Y4"/>
    <mergeCell ref="C5:Y5"/>
    <mergeCell ref="C6:Y6"/>
    <mergeCell ref="A10:Y10"/>
    <mergeCell ref="A11:B12"/>
    <mergeCell ref="C11:C12"/>
    <mergeCell ref="D11:D12"/>
    <mergeCell ref="E11:I11"/>
    <mergeCell ref="J11:N11"/>
    <mergeCell ref="O11:T11"/>
    <mergeCell ref="A6:B6"/>
    <mergeCell ref="A5:B5"/>
    <mergeCell ref="A4:B4"/>
    <mergeCell ref="D8:D9"/>
    <mergeCell ref="E7:I7"/>
    <mergeCell ref="E8:I9"/>
    <mergeCell ref="J7:N7"/>
    <mergeCell ref="J8:N9"/>
    <mergeCell ref="A7:C7"/>
    <mergeCell ref="U8:Y9"/>
    <mergeCell ref="U7:Y7"/>
    <mergeCell ref="O7:T9"/>
    <mergeCell ref="O30:T30"/>
    <mergeCell ref="D19:D20"/>
    <mergeCell ref="E19:I19"/>
    <mergeCell ref="J19:N19"/>
    <mergeCell ref="O19:T19"/>
    <mergeCell ref="U19:Y19"/>
    <mergeCell ref="O24:T24"/>
    <mergeCell ref="U24:Y24"/>
    <mergeCell ref="O25:T25"/>
    <mergeCell ref="O26:T26"/>
    <mergeCell ref="O27:T27"/>
    <mergeCell ref="D29:D30"/>
    <mergeCell ref="E29:I29"/>
    <mergeCell ref="J29:N29"/>
    <mergeCell ref="A23:Y23"/>
    <mergeCell ref="A28:Y28"/>
    <mergeCell ref="C29:C30"/>
    <mergeCell ref="O60:T60"/>
    <mergeCell ref="A15:B16"/>
    <mergeCell ref="C15:C16"/>
    <mergeCell ref="D15:D16"/>
    <mergeCell ref="U42:Y42"/>
    <mergeCell ref="O43:T43"/>
    <mergeCell ref="O44:T44"/>
    <mergeCell ref="O45:T45"/>
    <mergeCell ref="A47:B48"/>
    <mergeCell ref="C47:C48"/>
    <mergeCell ref="D47:D48"/>
    <mergeCell ref="E47:I47"/>
    <mergeCell ref="J47:N47"/>
    <mergeCell ref="O47:T47"/>
    <mergeCell ref="A42:B45"/>
    <mergeCell ref="C42:C45"/>
    <mergeCell ref="D42:D43"/>
    <mergeCell ref="E42:I42"/>
    <mergeCell ref="J42:N42"/>
    <mergeCell ref="O42:T42"/>
    <mergeCell ref="U47:Y47"/>
    <mergeCell ref="O48:T48"/>
    <mergeCell ref="U37:Y37"/>
    <mergeCell ref="O38:T38"/>
    <mergeCell ref="A53:B54"/>
    <mergeCell ref="C53:C54"/>
    <mergeCell ref="O53:T53"/>
    <mergeCell ref="O54:T54"/>
    <mergeCell ref="A51:B52"/>
    <mergeCell ref="C51:C52"/>
    <mergeCell ref="D51:D52"/>
    <mergeCell ref="E51:I51"/>
    <mergeCell ref="J51:N51"/>
    <mergeCell ref="O51:T51"/>
    <mergeCell ref="A99:Y99"/>
    <mergeCell ref="U65:Y65"/>
    <mergeCell ref="O66:T66"/>
    <mergeCell ref="O68:T68"/>
    <mergeCell ref="O69:T69"/>
    <mergeCell ref="O70:T70"/>
    <mergeCell ref="D65:D66"/>
    <mergeCell ref="E65:I65"/>
    <mergeCell ref="J65:N65"/>
    <mergeCell ref="O65:T65"/>
    <mergeCell ref="O76:T76"/>
    <mergeCell ref="O80:T80"/>
    <mergeCell ref="O84:T84"/>
    <mergeCell ref="O88:T88"/>
    <mergeCell ref="O73:T73"/>
    <mergeCell ref="O74:T74"/>
    <mergeCell ref="O75:T75"/>
    <mergeCell ref="A65:B98"/>
    <mergeCell ref="C65:C98"/>
    <mergeCell ref="O95:T95"/>
    <mergeCell ref="O89:T89"/>
    <mergeCell ref="O90:T90"/>
    <mergeCell ref="O96:T96"/>
    <mergeCell ref="O97:T97"/>
    <mergeCell ref="O93:T93"/>
    <mergeCell ref="O94:T94"/>
    <mergeCell ref="O77:T77"/>
    <mergeCell ref="O78:T78"/>
    <mergeCell ref="O79:T79"/>
    <mergeCell ref="O81:T81"/>
    <mergeCell ref="O82:T82"/>
    <mergeCell ref="O83:T83"/>
    <mergeCell ref="O85:T85"/>
    <mergeCell ref="O86:T86"/>
    <mergeCell ref="O87:T87"/>
    <mergeCell ref="O92:T92"/>
    <mergeCell ref="E37:I37"/>
    <mergeCell ref="J37:N37"/>
    <mergeCell ref="O37:T37"/>
    <mergeCell ref="D33:D34"/>
    <mergeCell ref="E33:I33"/>
    <mergeCell ref="J33:N33"/>
    <mergeCell ref="O33:T33"/>
    <mergeCell ref="O91:T91"/>
    <mergeCell ref="A41:Y41"/>
    <mergeCell ref="A46:Y46"/>
    <mergeCell ref="A59:Y59"/>
    <mergeCell ref="U55:Y55"/>
    <mergeCell ref="O56:T56"/>
    <mergeCell ref="A57:B58"/>
    <mergeCell ref="C57:C58"/>
    <mergeCell ref="U60:Y60"/>
    <mergeCell ref="A49:B50"/>
    <mergeCell ref="C49:C50"/>
    <mergeCell ref="O49:T49"/>
    <mergeCell ref="O50:T50"/>
    <mergeCell ref="O57:T57"/>
    <mergeCell ref="O58:T58"/>
    <mergeCell ref="U51:Y51"/>
    <mergeCell ref="O52:T52"/>
    <mergeCell ref="E15:I15"/>
    <mergeCell ref="J15:N15"/>
    <mergeCell ref="O61:T61"/>
    <mergeCell ref="O62:T62"/>
    <mergeCell ref="O63:T63"/>
    <mergeCell ref="A64:Y64"/>
    <mergeCell ref="A60:B63"/>
    <mergeCell ref="O72:T72"/>
    <mergeCell ref="O71:T71"/>
    <mergeCell ref="C60:C63"/>
    <mergeCell ref="D60:D61"/>
    <mergeCell ref="E60:I60"/>
    <mergeCell ref="J60:N60"/>
    <mergeCell ref="O67:T67"/>
    <mergeCell ref="O34:T34"/>
    <mergeCell ref="A35:B36"/>
    <mergeCell ref="C35:C36"/>
    <mergeCell ref="O35:T35"/>
    <mergeCell ref="O36:T36"/>
    <mergeCell ref="A33:B34"/>
    <mergeCell ref="C33:C34"/>
    <mergeCell ref="A37:B38"/>
    <mergeCell ref="C37:C38"/>
    <mergeCell ref="D37:D38"/>
    <mergeCell ref="A1:K1"/>
    <mergeCell ref="A2:K2"/>
    <mergeCell ref="A3:L3"/>
    <mergeCell ref="A8:C9"/>
    <mergeCell ref="A39:B40"/>
    <mergeCell ref="C39:C40"/>
    <mergeCell ref="O39:T39"/>
    <mergeCell ref="O40:T40"/>
    <mergeCell ref="A55:B56"/>
    <mergeCell ref="C55:C56"/>
    <mergeCell ref="D55:D56"/>
    <mergeCell ref="E55:I55"/>
    <mergeCell ref="J55:N55"/>
    <mergeCell ref="O55:T55"/>
    <mergeCell ref="A19:B20"/>
    <mergeCell ref="C19:C20"/>
    <mergeCell ref="O20:T20"/>
    <mergeCell ref="O21:T21"/>
    <mergeCell ref="O22:T22"/>
    <mergeCell ref="A21:B22"/>
    <mergeCell ref="C21:C22"/>
    <mergeCell ref="O31:T31"/>
    <mergeCell ref="O32:T32"/>
    <mergeCell ref="A29:B30"/>
  </mergeCells>
  <conditionalFormatting sqref="N35:N36 N39:N40 N49:N50 N53:N54 N57:N58 N13:N14 N17:N18 N21:N22 N68 N72 N76 N80 N84 N88 N92:N94 N96">
    <cfRule type="expression" dxfId="121" priority="6">
      <formula>OR((N13&gt;I13*1.1), (N13&lt;I13*0.9))</formula>
    </cfRule>
    <cfRule type="expression" dxfId="120" priority="7">
      <formula>N13&lt;&gt;SUM(J13:M13)</formula>
    </cfRule>
    <cfRule type="expression" dxfId="119" priority="8">
      <formula>OR(AND(I13=0, N13&lt;&gt;0), AND(N13=0, I13&lt;&gt;0))</formula>
    </cfRule>
  </conditionalFormatting>
  <conditionalFormatting sqref="E8:N9">
    <cfRule type="cellIs" dxfId="118" priority="15" operator="lessThan">
      <formula>$D$8</formula>
    </cfRule>
    <cfRule type="cellIs" dxfId="117" priority="16" operator="greaterThan">
      <formula>$D$8</formula>
    </cfRule>
  </conditionalFormatting>
  <conditionalFormatting sqref="U8:Y9">
    <cfRule type="cellIs" dxfId="116" priority="4" operator="lessThan">
      <formula>$D$8</formula>
    </cfRule>
    <cfRule type="cellIs" dxfId="115" priority="5" operator="greaterThan">
      <formula>$D$8</formula>
    </cfRule>
  </conditionalFormatting>
  <conditionalFormatting sqref="Y13:Y14 Y17:Y18 Y21:Y22 Y26:Y27 Y31:Y32 Y35:Y36 Y39:Y40 Y44:Y45 Y49:Y50 Y53:Y54 Y57:Y58 Y62:Y63 Y67:Y98">
    <cfRule type="expression" dxfId="114" priority="1">
      <formula>OR(AND(I13=0, X13&lt;&gt;0), AND(X13=0, I13&lt;&gt;0))</formula>
    </cfRule>
    <cfRule type="expression" dxfId="113" priority="2">
      <formula>Y13&lt;&gt;SUM(U13:X13)</formula>
    </cfRule>
    <cfRule type="expression" dxfId="112" priority="3">
      <formula>AND(ISBLANK(O13), OR((Y13&gt;I13*1.1), (Y13&lt;I13*0.9)))</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2F86538B-01B4-491B-AD49-8BED180C78FE}">
          <x14:formula1>
            <xm:f>'YP Education Measure Ranges'!$A$49:$A$55</xm:f>
          </x14:formula1>
          <xm:sqref>A13:B14 A17:B18 A21</xm:sqref>
        </x14:dataValidation>
        <x14:dataValidation type="list" allowBlank="1" showInputMessage="1" showErrorMessage="1" xr:uid="{0ACF47F3-7643-4B6F-9BC0-0308C460F25D}">
          <x14:formula1>
            <xm:f>'YP Education Measure Ranges'!$I$49:$I$55</xm:f>
          </x14:formula1>
          <xm:sqref>A31:B32 A35:B36 A39</xm:sqref>
        </x14:dataValidation>
        <x14:dataValidation type="list" allowBlank="1" showInputMessage="1" showErrorMessage="1" xr:uid="{3B09C73D-038F-42A9-B0F6-305BDD79C822}">
          <x14:formula1>
            <xm:f>'YP Education Measure Ranges'!$Q$49:$Q$52</xm:f>
          </x14:formula1>
          <xm:sqref>A49:B50 A53:B54 A57:B58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C8D01-7578-4C5E-B898-0675CD58D0A9}">
  <dimension ref="A1:W56"/>
  <sheetViews>
    <sheetView topLeftCell="A15" zoomScale="80" zoomScaleNormal="80" workbookViewId="0">
      <selection activeCell="B15" sqref="B15:B46"/>
    </sheetView>
  </sheetViews>
  <sheetFormatPr defaultRowHeight="15" x14ac:dyDescent="0.2"/>
  <cols>
    <col min="1" max="1" width="14.59765625" customWidth="1"/>
    <col min="2" max="2" width="14" customWidth="1"/>
    <col min="3" max="3" width="11.59765625" customWidth="1"/>
    <col min="4" max="4" width="16.5" customWidth="1"/>
    <col min="5" max="5" width="12" customWidth="1"/>
    <col min="6" max="6" width="18.296875" customWidth="1"/>
    <col min="7" max="7" width="10.796875" customWidth="1"/>
    <col min="8" max="8" width="11.296875" customWidth="1"/>
    <col min="9" max="9" width="12.8984375" customWidth="1"/>
    <col min="10" max="10" width="15.3984375" customWidth="1"/>
    <col min="17" max="17" width="12.796875" customWidth="1"/>
    <col min="18" max="18" width="15.69921875" customWidth="1"/>
  </cols>
  <sheetData>
    <row r="1" spans="1:23" ht="30" x14ac:dyDescent="0.2">
      <c r="A1" s="279" t="s">
        <v>8</v>
      </c>
      <c r="B1" s="116" t="s">
        <v>107</v>
      </c>
      <c r="C1" s="116" t="s">
        <v>108</v>
      </c>
      <c r="D1" s="116" t="s">
        <v>109</v>
      </c>
      <c r="E1" s="116" t="s">
        <v>110</v>
      </c>
      <c r="F1" s="117" t="s">
        <v>111</v>
      </c>
      <c r="G1" s="116" t="s">
        <v>112</v>
      </c>
      <c r="H1" s="118"/>
      <c r="I1" s="118"/>
      <c r="J1" s="118"/>
      <c r="K1" s="118"/>
      <c r="L1" s="118"/>
      <c r="M1" s="118"/>
      <c r="N1" s="118"/>
      <c r="O1" s="118"/>
      <c r="P1" s="118"/>
      <c r="Q1" s="118"/>
      <c r="R1" s="118"/>
      <c r="S1" s="118"/>
      <c r="T1" s="118"/>
      <c r="U1" s="118"/>
      <c r="V1" s="118"/>
      <c r="W1" s="118"/>
    </row>
    <row r="2" spans="1:23" x14ac:dyDescent="0.2">
      <c r="A2" s="280"/>
      <c r="B2" s="273">
        <v>0.7</v>
      </c>
      <c r="C2" s="273">
        <v>0.15</v>
      </c>
      <c r="D2" s="273">
        <v>0.05</v>
      </c>
      <c r="E2" s="273">
        <v>0.05</v>
      </c>
      <c r="F2" s="276">
        <v>0.05</v>
      </c>
      <c r="G2" s="276">
        <f>SUM(B2:F5)</f>
        <v>1</v>
      </c>
      <c r="H2" s="118"/>
      <c r="I2" s="118"/>
      <c r="J2" s="118"/>
      <c r="K2" s="118"/>
      <c r="L2" s="118"/>
      <c r="M2" s="118"/>
      <c r="N2" s="118"/>
      <c r="O2" s="118"/>
      <c r="P2" s="118"/>
      <c r="Q2" s="118"/>
      <c r="R2" s="118"/>
      <c r="S2" s="118"/>
      <c r="T2" s="118"/>
      <c r="U2" s="118"/>
      <c r="V2" s="118"/>
      <c r="W2" s="118"/>
    </row>
    <row r="3" spans="1:23" x14ac:dyDescent="0.2">
      <c r="A3" s="280"/>
      <c r="B3" s="274"/>
      <c r="C3" s="274"/>
      <c r="D3" s="274"/>
      <c r="E3" s="274"/>
      <c r="F3" s="277"/>
      <c r="G3" s="277"/>
      <c r="H3" s="118"/>
      <c r="I3" s="118"/>
      <c r="J3" s="118"/>
      <c r="K3" s="118"/>
      <c r="L3" s="118"/>
      <c r="M3" s="118"/>
      <c r="N3" s="118"/>
      <c r="O3" s="118"/>
      <c r="P3" s="118"/>
      <c r="Q3" s="118"/>
      <c r="R3" s="118"/>
      <c r="S3" s="118"/>
      <c r="T3" s="118"/>
      <c r="U3" s="118"/>
      <c r="V3" s="118"/>
      <c r="W3" s="118"/>
    </row>
    <row r="4" spans="1:23" x14ac:dyDescent="0.2">
      <c r="A4" s="280"/>
      <c r="B4" s="274"/>
      <c r="C4" s="274"/>
      <c r="D4" s="274"/>
      <c r="E4" s="274"/>
      <c r="F4" s="277"/>
      <c r="G4" s="277"/>
      <c r="H4" s="118"/>
      <c r="I4" s="118"/>
      <c r="J4" s="118"/>
      <c r="K4" s="118"/>
      <c r="L4" s="118"/>
      <c r="M4" s="118"/>
      <c r="N4" s="118"/>
      <c r="O4" s="118"/>
      <c r="P4" s="118"/>
      <c r="Q4" s="118"/>
      <c r="R4" s="118"/>
      <c r="S4" s="118"/>
      <c r="T4" s="118"/>
      <c r="U4" s="118"/>
      <c r="V4" s="118"/>
      <c r="W4" s="118"/>
    </row>
    <row r="5" spans="1:23" x14ac:dyDescent="0.2">
      <c r="A5" s="281"/>
      <c r="B5" s="275"/>
      <c r="C5" s="275"/>
      <c r="D5" s="275"/>
      <c r="E5" s="275"/>
      <c r="F5" s="278"/>
      <c r="G5" s="278"/>
      <c r="H5" s="118"/>
      <c r="I5" s="118"/>
      <c r="J5" s="118"/>
      <c r="K5" s="118"/>
      <c r="L5" s="118"/>
      <c r="M5" s="118"/>
      <c r="N5" s="118"/>
      <c r="O5" s="118"/>
      <c r="P5" s="118"/>
      <c r="Q5" s="118"/>
      <c r="R5" s="118"/>
      <c r="S5" s="118"/>
      <c r="T5" s="118"/>
      <c r="U5" s="118"/>
      <c r="V5" s="118"/>
      <c r="W5" s="118"/>
    </row>
    <row r="6" spans="1:23" ht="68.099999999999994" customHeight="1" x14ac:dyDescent="0.2">
      <c r="A6" s="282" t="s">
        <v>113</v>
      </c>
      <c r="B6" s="282"/>
      <c r="C6" s="282"/>
      <c r="D6" s="282"/>
      <c r="E6" s="282"/>
      <c r="F6" s="282"/>
      <c r="G6" s="282"/>
      <c r="H6" s="119"/>
      <c r="I6" s="118"/>
      <c r="J6" s="118"/>
      <c r="K6" s="118"/>
      <c r="L6" s="118"/>
      <c r="M6" s="118"/>
      <c r="N6" s="118"/>
      <c r="O6" s="118"/>
      <c r="P6" s="118"/>
      <c r="Q6" s="118"/>
      <c r="R6" s="118"/>
      <c r="S6" s="118"/>
      <c r="T6" s="118"/>
      <c r="U6" s="118"/>
      <c r="V6" s="118"/>
      <c r="W6" s="118"/>
    </row>
    <row r="7" spans="1:23" x14ac:dyDescent="0.2">
      <c r="A7" s="153"/>
      <c r="B7" s="153"/>
      <c r="C7" s="153"/>
      <c r="D7" s="153"/>
      <c r="E7" s="153"/>
      <c r="F7" s="153"/>
      <c r="G7" s="153"/>
      <c r="H7" s="119"/>
      <c r="I7" s="118"/>
      <c r="J7" s="118"/>
      <c r="K7" s="118"/>
      <c r="L7" s="118"/>
      <c r="M7" s="118"/>
      <c r="N7" s="118"/>
      <c r="O7" s="118"/>
      <c r="P7" s="118"/>
      <c r="Q7" s="118"/>
      <c r="R7" s="118"/>
      <c r="S7" s="118"/>
      <c r="T7" s="118"/>
      <c r="U7" s="118"/>
      <c r="V7" s="118"/>
      <c r="W7" s="118"/>
    </row>
    <row r="8" spans="1:23" x14ac:dyDescent="0.2">
      <c r="A8" s="153"/>
      <c r="B8" s="153"/>
      <c r="C8" s="153"/>
      <c r="D8" s="153"/>
      <c r="E8" s="153"/>
      <c r="F8" s="153"/>
      <c r="G8" s="153"/>
      <c r="H8" s="119"/>
      <c r="I8" s="118"/>
      <c r="J8" s="118"/>
      <c r="K8" s="118"/>
      <c r="L8" s="118"/>
      <c r="M8" s="118"/>
      <c r="N8" s="118"/>
      <c r="O8" s="118"/>
      <c r="P8" s="118"/>
      <c r="Q8" s="118"/>
      <c r="R8" s="118"/>
      <c r="S8" s="118"/>
      <c r="T8" s="118"/>
      <c r="U8" s="118"/>
      <c r="V8" s="118"/>
      <c r="W8" s="118"/>
    </row>
    <row r="9" spans="1:23" x14ac:dyDescent="0.2">
      <c r="A9" s="153"/>
      <c r="B9" s="153"/>
      <c r="C9" s="153"/>
      <c r="D9" s="153"/>
      <c r="E9" s="153"/>
      <c r="F9" s="153"/>
      <c r="G9" s="153"/>
      <c r="H9" s="119"/>
      <c r="I9" s="118"/>
      <c r="J9" s="118"/>
      <c r="K9" s="118"/>
      <c r="L9" s="118"/>
      <c r="M9" s="118"/>
      <c r="N9" s="118"/>
      <c r="O9" s="118"/>
      <c r="P9" s="118"/>
      <c r="Q9" s="118"/>
      <c r="R9" s="118"/>
      <c r="S9" s="118"/>
      <c r="T9" s="118"/>
      <c r="U9" s="118"/>
      <c r="V9" s="118"/>
      <c r="W9" s="118"/>
    </row>
    <row r="10" spans="1:23" x14ac:dyDescent="0.2">
      <c r="A10" s="120"/>
      <c r="B10" s="120"/>
      <c r="C10" s="120"/>
      <c r="D10" s="120"/>
      <c r="E10" s="120"/>
      <c r="F10" s="120"/>
      <c r="G10" s="120"/>
      <c r="H10" s="119"/>
      <c r="I10" s="118"/>
      <c r="J10" s="118"/>
      <c r="K10" s="118"/>
      <c r="L10" s="118"/>
      <c r="M10" s="118"/>
      <c r="N10" s="118"/>
      <c r="O10" s="118"/>
      <c r="P10" s="118"/>
      <c r="Q10" s="118"/>
      <c r="R10" s="118"/>
      <c r="S10" s="118"/>
      <c r="T10" s="118"/>
      <c r="U10" s="118"/>
      <c r="V10" s="118"/>
      <c r="W10" s="118"/>
    </row>
    <row r="11" spans="1:23" ht="15.75" x14ac:dyDescent="0.2">
      <c r="A11" s="268" t="s">
        <v>114</v>
      </c>
      <c r="B11" s="269"/>
      <c r="C11" s="269"/>
      <c r="D11" s="269"/>
      <c r="E11" s="269"/>
      <c r="F11" s="269"/>
      <c r="G11" s="269"/>
      <c r="H11" s="269"/>
      <c r="I11" s="269"/>
      <c r="J11" s="269"/>
      <c r="K11" s="269"/>
      <c r="L11" s="269"/>
      <c r="M11" s="269"/>
      <c r="N11" s="269"/>
      <c r="O11" s="269"/>
      <c r="P11" s="269"/>
      <c r="Q11" s="269"/>
      <c r="R11" s="269"/>
      <c r="S11" s="269"/>
      <c r="T11" s="269"/>
      <c r="U11" s="269"/>
      <c r="V11" s="269"/>
      <c r="W11" s="269"/>
    </row>
    <row r="12" spans="1:23" ht="15.75" x14ac:dyDescent="0.2">
      <c r="A12" s="268" t="s">
        <v>115</v>
      </c>
      <c r="B12" s="268"/>
      <c r="C12" s="268"/>
      <c r="D12" s="268"/>
      <c r="E12" s="268"/>
      <c r="F12" s="268"/>
      <c r="G12" s="268"/>
      <c r="H12" s="268"/>
      <c r="I12" s="268"/>
      <c r="J12" s="268"/>
      <c r="K12" s="268"/>
      <c r="L12" s="268"/>
      <c r="M12" s="268"/>
      <c r="N12" s="268"/>
      <c r="O12" s="268"/>
      <c r="P12" s="268"/>
      <c r="Q12" s="268"/>
      <c r="R12" s="268"/>
      <c r="S12" s="268"/>
      <c r="T12" s="268"/>
      <c r="U12" s="268"/>
      <c r="V12" s="268"/>
      <c r="W12" s="268"/>
    </row>
    <row r="13" spans="1:23" ht="15.75" x14ac:dyDescent="0.2">
      <c r="A13" s="270" t="s">
        <v>116</v>
      </c>
      <c r="B13" s="270"/>
      <c r="C13" s="270"/>
      <c r="D13" s="270"/>
      <c r="E13" s="270"/>
      <c r="F13" s="270"/>
      <c r="G13" s="270"/>
      <c r="H13" s="121"/>
      <c r="I13" s="271" t="s">
        <v>117</v>
      </c>
      <c r="J13" s="271"/>
      <c r="K13" s="271"/>
      <c r="L13" s="271"/>
      <c r="M13" s="271"/>
      <c r="N13" s="271"/>
      <c r="O13" s="271"/>
      <c r="P13" s="122"/>
      <c r="Q13" s="272" t="s">
        <v>118</v>
      </c>
      <c r="R13" s="272"/>
      <c r="S13" s="272"/>
      <c r="T13" s="272"/>
      <c r="U13" s="272"/>
      <c r="V13" s="272"/>
      <c r="W13" s="272"/>
    </row>
    <row r="14" spans="1:23" x14ac:dyDescent="0.2">
      <c r="A14" s="122" t="s">
        <v>119</v>
      </c>
      <c r="B14" s="122" t="s">
        <v>120</v>
      </c>
      <c r="C14" s="122" t="s">
        <v>121</v>
      </c>
      <c r="D14" s="122" t="s">
        <v>122</v>
      </c>
      <c r="E14" s="122" t="s">
        <v>123</v>
      </c>
      <c r="F14" s="122" t="s">
        <v>124</v>
      </c>
      <c r="G14" s="122" t="s">
        <v>125</v>
      </c>
      <c r="H14" s="122"/>
      <c r="I14" s="122" t="s">
        <v>119</v>
      </c>
      <c r="J14" s="122" t="s">
        <v>120</v>
      </c>
      <c r="K14" s="122" t="s">
        <v>121</v>
      </c>
      <c r="L14" s="122" t="s">
        <v>122</v>
      </c>
      <c r="M14" s="122" t="s">
        <v>123</v>
      </c>
      <c r="N14" s="122" t="s">
        <v>124</v>
      </c>
      <c r="O14" s="122" t="s">
        <v>125</v>
      </c>
      <c r="P14" s="122"/>
      <c r="Q14" s="122" t="s">
        <v>119</v>
      </c>
      <c r="R14" s="122" t="s">
        <v>120</v>
      </c>
      <c r="S14" s="122" t="s">
        <v>121</v>
      </c>
      <c r="T14" s="122" t="s">
        <v>122</v>
      </c>
      <c r="U14" s="122" t="s">
        <v>123</v>
      </c>
      <c r="V14" s="122" t="s">
        <v>124</v>
      </c>
      <c r="W14" s="122" t="s">
        <v>125</v>
      </c>
    </row>
    <row r="15" spans="1:23" ht="31.5" x14ac:dyDescent="0.2">
      <c r="A15" s="123" t="s">
        <v>126</v>
      </c>
      <c r="B15" s="124" t="s">
        <v>127</v>
      </c>
      <c r="C15" s="123">
        <f>ROUND(C16*1.1, 0)</f>
        <v>26</v>
      </c>
      <c r="D15" s="123">
        <f t="shared" ref="D15:F15" si="0">ROUND(D16*1.1, 0)</f>
        <v>26</v>
      </c>
      <c r="E15" s="123">
        <f t="shared" si="0"/>
        <v>20</v>
      </c>
      <c r="F15" s="123">
        <f t="shared" si="0"/>
        <v>7</v>
      </c>
      <c r="G15" s="125">
        <f>SUM(YPU_Ranges[[#This Row],[Q1]:[Q4]])</f>
        <v>79</v>
      </c>
      <c r="H15" s="122"/>
      <c r="I15" s="123" t="s">
        <v>128</v>
      </c>
      <c r="J15" s="124" t="s">
        <v>129</v>
      </c>
      <c r="K15" s="123">
        <f>ROUND(K16*1.1, 0)</f>
        <v>111</v>
      </c>
      <c r="L15" s="123">
        <f t="shared" ref="L15:N15" si="1">ROUND(L16*1.1, 0)</f>
        <v>111</v>
      </c>
      <c r="M15" s="123">
        <f t="shared" si="1"/>
        <v>84</v>
      </c>
      <c r="N15" s="123">
        <f t="shared" si="1"/>
        <v>26</v>
      </c>
      <c r="O15" s="126">
        <f>SUM(YPS_Ranges[[#This Row],[Q1]:[Q4]])</f>
        <v>332</v>
      </c>
      <c r="P15" s="122"/>
      <c r="Q15" s="123" t="s">
        <v>128</v>
      </c>
      <c r="R15" s="124" t="s">
        <v>129</v>
      </c>
      <c r="S15" s="123">
        <f>ROUND(S16*1.1, 0)</f>
        <v>111</v>
      </c>
      <c r="T15" s="123">
        <f t="shared" ref="T15:V15" si="2">ROUND(T16*1.1, 0)</f>
        <v>111</v>
      </c>
      <c r="U15" s="123">
        <f t="shared" si="2"/>
        <v>84</v>
      </c>
      <c r="V15" s="123">
        <f t="shared" si="2"/>
        <v>26</v>
      </c>
      <c r="W15" s="127">
        <f>SUM(YPI_Ranges[[#This Row],[Q1]:[Q4]])</f>
        <v>332</v>
      </c>
    </row>
    <row r="16" spans="1:23" ht="31.5" x14ac:dyDescent="0.2">
      <c r="A16" s="128" t="s">
        <v>130</v>
      </c>
      <c r="B16" s="129" t="s">
        <v>127</v>
      </c>
      <c r="C16" s="130">
        <f>ROUND(YPU_Ranges[[#This Row],[Annual]]*0.333,0)</f>
        <v>24</v>
      </c>
      <c r="D16" s="130">
        <f>ROUND(YPU_Ranges[[#This Row],[Annual]]*0.333,0)</f>
        <v>24</v>
      </c>
      <c r="E16" s="130">
        <f>ROUND((YPU_Ranges[[#This Row],[Annual]])*(0.75*0.334),0)</f>
        <v>18</v>
      </c>
      <c r="F16" s="130">
        <f>IF(ROUND(YPU_Ranges[[#This Row],[Annual]]*(0.25*0.334),0)+SUM(YPU_Ranges[[#This Row],[Q1]]:YPU_Ranges[[#This Row],[Q3]])&lt;&gt;YPU_Ranges[[#This Row],[Annual]], YPU_Ranges[[#This Row],[Annual]]-(SUM(YPU_Ranges[[#This Row],[Q1]]:YPU_Ranges[[#This Row],[Q3]])), ROUND(YPU_Ranges[[#This Row],[Annual]]*(0.25*0.334),0))</f>
        <v>6</v>
      </c>
      <c r="G16" s="131" cm="1">
        <f t="array" ref="G16">ROUND(_xlfn.XLOOKUP(1, (Calculations_Edu[Prog Type]="YPU") * (Calculations_Edu[Curriculum]=YPU_Ranges[[#This Row],[Curriculum]]), Calculations_Edu[Annual Adults/FTE],0)*Edu_POE, 0)</f>
        <v>72</v>
      </c>
      <c r="H16" s="122"/>
      <c r="I16" s="129" t="s">
        <v>131</v>
      </c>
      <c r="J16" s="124" t="s">
        <v>129</v>
      </c>
      <c r="K16" s="128">
        <f>ROUND(YPS_Ranges[[#This Row],[Annual]]*0.333, 0)</f>
        <v>101</v>
      </c>
      <c r="L16" s="128">
        <f>ROUND(YPS_Ranges[[#This Row],[Annual]]*0.333, 0)</f>
        <v>101</v>
      </c>
      <c r="M16" s="128">
        <f>ROUND((YPS_Ranges[[#This Row],[Annual]])*(0.75*0.334), 0)</f>
        <v>76</v>
      </c>
      <c r="N16" s="130">
        <f>IF(ROUND(YPS_Ranges[[#This Row],[Annual]]*(0.25*0.334),0)+SUM(YPS_Ranges[[#This Row],[Q1]]:YPS_Ranges[[#This Row],[Q3]])&lt;&gt;YPS_Ranges[[#This Row],[Annual]], YPS_Ranges[[#This Row],[Annual]]-(SUM(YPS_Ranges[[#This Row],[Q1]]:YPS_Ranges[[#This Row],[Q3]])), ROUND(YPS_Ranges[[#This Row],[Annual]]*(0.25*0.334),0))</f>
        <v>24</v>
      </c>
      <c r="O16" s="132" cm="1">
        <f t="array" ref="O16">ROUND(_xlfn.XLOOKUP(1, (Calculations_Edu[Prog Type]="YPS") * (Calculations_Edu[Curriculum]=YPS_Ranges[[#This Row],[Curriculum]]), Calculations_Edu[Annual Youth/FTE],0)*Edu_POE, 0)</f>
        <v>302</v>
      </c>
      <c r="P16" s="122"/>
      <c r="Q16" s="129" t="s">
        <v>131</v>
      </c>
      <c r="R16" s="124" t="s">
        <v>129</v>
      </c>
      <c r="S16" s="128">
        <f>ROUND(YPI_Ranges[[#This Row],[Annual]]*0.333, 0)</f>
        <v>101</v>
      </c>
      <c r="T16" s="128">
        <f>ROUND(YPI_Ranges[[#This Row],[Annual]]*0.333, 0)</f>
        <v>101</v>
      </c>
      <c r="U16" s="128">
        <f>ROUND((YPI_Ranges[[#This Row],[Annual]])*(0.75*0.334), 0)</f>
        <v>76</v>
      </c>
      <c r="V16" s="130">
        <f>IF(ROUND(YPI_Ranges[[#This Row],[Annual]]*(0.25*0.334),0)+SUM(YPI_Ranges[[#This Row],[Q1]]:YPI_Ranges[[#This Row],[Q3]])&lt;&gt;YPI_Ranges[[#This Row],[Annual]], YPI_Ranges[[#This Row],[Annual]]-(SUM(YPI_Ranges[[#This Row],[Q1]]:YPI_Ranges[[#This Row],[Q3]])), ROUND(YPI_Ranges[[#This Row],[Annual]]*(0.25*0.334),0))</f>
        <v>24</v>
      </c>
      <c r="W16" s="133" cm="1">
        <f t="array" ref="W16">ROUND(_xlfn.XLOOKUP(1, (Calculations_Edu[Prog Type]="YPI") * (Calculations_Edu[Curriculum]=YPI_Ranges[[#This Row],[Curriculum]]), Calculations_Edu[Annual Youth/FTE],0)*Edu_POE, 0)</f>
        <v>302</v>
      </c>
    </row>
    <row r="17" spans="1:23" ht="31.5" x14ac:dyDescent="0.2">
      <c r="A17" s="123" t="s">
        <v>132</v>
      </c>
      <c r="B17" s="124" t="s">
        <v>127</v>
      </c>
      <c r="C17" s="123">
        <f>ROUND(C16*0.9, 0)</f>
        <v>22</v>
      </c>
      <c r="D17" s="123">
        <f t="shared" ref="D17:F17" si="3">ROUND(D16*0.9, 0)</f>
        <v>22</v>
      </c>
      <c r="E17" s="123">
        <f t="shared" si="3"/>
        <v>16</v>
      </c>
      <c r="F17" s="123">
        <f t="shared" si="3"/>
        <v>5</v>
      </c>
      <c r="G17" s="125">
        <f>SUM(YPU_Ranges[[#This Row],[Q1]:[Q4]])</f>
        <v>65</v>
      </c>
      <c r="H17" s="122"/>
      <c r="I17" s="123" t="s">
        <v>133</v>
      </c>
      <c r="J17" s="124" t="s">
        <v>129</v>
      </c>
      <c r="K17" s="123">
        <f>ROUND(K16*0.9, 0)</f>
        <v>91</v>
      </c>
      <c r="L17" s="123">
        <f t="shared" ref="L17:N17" si="4">ROUND(L16*0.9, 0)</f>
        <v>91</v>
      </c>
      <c r="M17" s="123">
        <f t="shared" si="4"/>
        <v>68</v>
      </c>
      <c r="N17" s="123">
        <f t="shared" si="4"/>
        <v>22</v>
      </c>
      <c r="O17" s="126">
        <f>SUM(YPS_Ranges[[#This Row],[Q1]:[Q4]])</f>
        <v>272</v>
      </c>
      <c r="P17" s="122"/>
      <c r="Q17" s="123" t="s">
        <v>133</v>
      </c>
      <c r="R17" s="124" t="s">
        <v>129</v>
      </c>
      <c r="S17" s="123">
        <f>ROUND(S16*0.9, 0)</f>
        <v>91</v>
      </c>
      <c r="T17" s="123">
        <f t="shared" ref="T17:V17" si="5">ROUND(T16*0.9, 0)</f>
        <v>91</v>
      </c>
      <c r="U17" s="123">
        <f t="shared" si="5"/>
        <v>68</v>
      </c>
      <c r="V17" s="123">
        <f t="shared" si="5"/>
        <v>22</v>
      </c>
      <c r="W17" s="127">
        <f>SUM(YPI_Ranges[[#This Row],[Q1]:[Q4]])</f>
        <v>272</v>
      </c>
    </row>
    <row r="18" spans="1:23" ht="15.75" x14ac:dyDescent="0.2">
      <c r="A18" s="134"/>
      <c r="B18" s="134"/>
      <c r="C18" s="134"/>
      <c r="D18" s="134"/>
      <c r="E18" s="134"/>
      <c r="F18" s="134"/>
      <c r="G18" s="134"/>
      <c r="H18" s="122"/>
      <c r="I18" s="135"/>
      <c r="J18" s="136"/>
      <c r="K18" s="135"/>
      <c r="L18" s="135"/>
      <c r="M18" s="135"/>
      <c r="N18" s="135"/>
      <c r="O18" s="135"/>
      <c r="P18" s="122"/>
      <c r="Q18" s="135"/>
      <c r="R18" s="136"/>
      <c r="S18" s="135"/>
      <c r="T18" s="135"/>
      <c r="U18" s="135"/>
      <c r="V18" s="135"/>
      <c r="W18" s="135"/>
    </row>
    <row r="19" spans="1:23" ht="31.5" x14ac:dyDescent="0.2">
      <c r="A19" s="123" t="s">
        <v>128</v>
      </c>
      <c r="B19" s="124" t="s">
        <v>134</v>
      </c>
      <c r="C19" s="123">
        <f>ROUND(C20*1.1, 0)</f>
        <v>308</v>
      </c>
      <c r="D19" s="123">
        <f>ROUND(D20*1.1, 0)</f>
        <v>308</v>
      </c>
      <c r="E19" s="123">
        <f>ROUND(E20*1.1, 0)</f>
        <v>231</v>
      </c>
      <c r="F19" s="123">
        <f>ROUND(F20*1.1, 0)</f>
        <v>77</v>
      </c>
      <c r="G19" s="125">
        <f>SUM(YPU_Ranges[[#This Row],[Q1]:[Q4]])</f>
        <v>924</v>
      </c>
      <c r="H19" s="122"/>
      <c r="I19" s="123" t="s">
        <v>128</v>
      </c>
      <c r="J19" s="124" t="s">
        <v>135</v>
      </c>
      <c r="K19" s="123">
        <f>ROUND(K20*1.1, 0)</f>
        <v>111</v>
      </c>
      <c r="L19" s="123">
        <f t="shared" ref="L19:N19" si="6">ROUND(L20*1.1, 0)</f>
        <v>111</v>
      </c>
      <c r="M19" s="123">
        <f t="shared" si="6"/>
        <v>84</v>
      </c>
      <c r="N19" s="123">
        <f t="shared" si="6"/>
        <v>26</v>
      </c>
      <c r="O19" s="126">
        <f>SUM(YPS_Ranges[[#This Row],[Q1]:[Q4]])</f>
        <v>332</v>
      </c>
      <c r="P19" s="122"/>
      <c r="Q19" s="123" t="s">
        <v>128</v>
      </c>
      <c r="R19" s="124" t="s">
        <v>135</v>
      </c>
      <c r="S19" s="123">
        <f>ROUND(S20*1.1, 0)</f>
        <v>111</v>
      </c>
      <c r="T19" s="123">
        <f t="shared" ref="T19:V19" si="7">ROUND(T20*1.1, 0)</f>
        <v>111</v>
      </c>
      <c r="U19" s="123">
        <f t="shared" si="7"/>
        <v>84</v>
      </c>
      <c r="V19" s="123">
        <f t="shared" si="7"/>
        <v>26</v>
      </c>
      <c r="W19" s="127">
        <f>SUM(YPI_Ranges[[#This Row],[Q1]:[Q4]])</f>
        <v>332</v>
      </c>
    </row>
    <row r="20" spans="1:23" ht="31.5" x14ac:dyDescent="0.2">
      <c r="A20" s="129" t="s">
        <v>131</v>
      </c>
      <c r="B20" s="129" t="s">
        <v>134</v>
      </c>
      <c r="C20" s="130">
        <f>ROUND(YPU_Ranges[[#This Row],[Annual]]*0.333,0)</f>
        <v>280</v>
      </c>
      <c r="D20" s="130">
        <f>ROUND(YPU_Ranges[[#This Row],[Annual]]*0.333,0)</f>
        <v>280</v>
      </c>
      <c r="E20" s="130">
        <f>ROUND((YPU_Ranges[[#This Row],[Annual]])*(0.75*0.334),0)</f>
        <v>210</v>
      </c>
      <c r="F20" s="130">
        <f>IF(ROUND(YPU_Ranges[[#This Row],[Annual]]*(0.25*0.334),0)+SUM(YPU_Ranges[[#This Row],[Q1]]:YPU_Ranges[[#This Row],[Q3]])&lt;&gt;YPU_Ranges[[#This Row],[Annual]], YPU_Ranges[[#This Row],[Annual]]-(SUM(YPU_Ranges[[#This Row],[Q1]]:YPU_Ranges[[#This Row],[Q3]])), ROUND(YPU_Ranges[[#This Row],[Annual]]*(0.25*0.334),0))</f>
        <v>70</v>
      </c>
      <c r="G20" s="131" cm="1">
        <f t="array" ref="G20">ROUND(_xlfn.XLOOKUP(1, (Calculations_Edu[Prog Type]="YPU") * (Calculations_Edu[Curriculum]=YPU_Ranges[[#This Row],[Curriculum]]), Calculations_Edu[Annual Youth/FTE],0)*Edu_POE, 0)</f>
        <v>840</v>
      </c>
      <c r="H20" s="122"/>
      <c r="I20" s="129" t="s">
        <v>131</v>
      </c>
      <c r="J20" s="129" t="s">
        <v>135</v>
      </c>
      <c r="K20" s="128">
        <f>ROUND(YPS_Ranges[[#This Row],[Annual]]*0.333, 0)</f>
        <v>101</v>
      </c>
      <c r="L20" s="128">
        <f>ROUND(YPS_Ranges[[#This Row],[Annual]]*0.333, 0)</f>
        <v>101</v>
      </c>
      <c r="M20" s="128">
        <f>ROUND((YPS_Ranges[[#This Row],[Annual]])*(0.75*0.334), 0)</f>
        <v>76</v>
      </c>
      <c r="N20" s="130">
        <f>IF(ROUND(YPS_Ranges[[#This Row],[Annual]]*(0.25*0.334),0)+SUM(YPS_Ranges[[#This Row],[Q1]]:YPS_Ranges[[#This Row],[Q3]])&lt;&gt;YPS_Ranges[[#This Row],[Annual]], YPS_Ranges[[#This Row],[Annual]]-(SUM(YPS_Ranges[[#This Row],[Q1]]:YPS_Ranges[[#This Row],[Q3]])), ROUND(YPS_Ranges[[#This Row],[Annual]]*(0.25*0.334),0))</f>
        <v>24</v>
      </c>
      <c r="O20" s="137" cm="1">
        <f t="array" ref="O20">ROUND(_xlfn.XLOOKUP(1, (Calculations_Edu[Prog Type]="YPS") * (Calculations_Edu[Curriculum]=YPS_Ranges[[#This Row],[Curriculum]]), Calculations_Edu[Annual Youth/FTE],0)*Edu_POE, 0)</f>
        <v>302</v>
      </c>
      <c r="P20" s="122"/>
      <c r="Q20" s="129" t="s">
        <v>131</v>
      </c>
      <c r="R20" s="129" t="s">
        <v>135</v>
      </c>
      <c r="S20" s="128">
        <f>ROUND(YPI_Ranges[[#This Row],[Annual]]*0.333, 0)</f>
        <v>101</v>
      </c>
      <c r="T20" s="128">
        <f>ROUND(YPI_Ranges[[#This Row],[Annual]]*0.333, 0)</f>
        <v>101</v>
      </c>
      <c r="U20" s="128">
        <f>ROUND((YPI_Ranges[[#This Row],[Annual]])*(0.75*0.334), 0)</f>
        <v>76</v>
      </c>
      <c r="V20" s="130">
        <f>IF(ROUND(YPI_Ranges[[#This Row],[Annual]]*(0.25*0.334),0)+SUM(YPI_Ranges[[#This Row],[Q1]]:YPI_Ranges[[#This Row],[Q3]])&lt;&gt;YPI_Ranges[[#This Row],[Annual]], YPI_Ranges[[#This Row],[Annual]]-(SUM(YPI_Ranges[[#This Row],[Q1]]:YPI_Ranges[[#This Row],[Q3]])), ROUND(YPI_Ranges[[#This Row],[Annual]]*(0.25*0.334),0))</f>
        <v>24</v>
      </c>
      <c r="W20" s="133" cm="1">
        <f t="array" ref="W20">ROUND(_xlfn.XLOOKUP(1, (Calculations_Edu[Prog Type]="YPI") * (Calculations_Edu[Curriculum]=YPI_Ranges[[#This Row],[Curriculum]]), Calculations_Edu[Annual Youth/FTE],0)*Edu_POE, 0)</f>
        <v>302</v>
      </c>
    </row>
    <row r="21" spans="1:23" ht="31.5" x14ac:dyDescent="0.2">
      <c r="A21" s="123" t="s">
        <v>133</v>
      </c>
      <c r="B21" s="124" t="s">
        <v>134</v>
      </c>
      <c r="C21" s="123">
        <f>ROUND(C20*0.9, 0)</f>
        <v>252</v>
      </c>
      <c r="D21" s="123">
        <f t="shared" ref="D21:F21" si="8">ROUND(D20*0.9, 0)</f>
        <v>252</v>
      </c>
      <c r="E21" s="123">
        <f t="shared" si="8"/>
        <v>189</v>
      </c>
      <c r="F21" s="123">
        <f t="shared" si="8"/>
        <v>63</v>
      </c>
      <c r="G21" s="125">
        <f>SUM(YPU_Ranges[[#This Row],[Q1]:[Q4]])</f>
        <v>756</v>
      </c>
      <c r="H21" s="122"/>
      <c r="I21" s="123" t="s">
        <v>133</v>
      </c>
      <c r="J21" s="124" t="s">
        <v>135</v>
      </c>
      <c r="K21" s="123">
        <f>ROUND(K20*0.9, 0)</f>
        <v>91</v>
      </c>
      <c r="L21" s="123">
        <f t="shared" ref="L21:M21" si="9">ROUND(L20*0.9, 0)</f>
        <v>91</v>
      </c>
      <c r="M21" s="123">
        <f t="shared" si="9"/>
        <v>68</v>
      </c>
      <c r="N21" s="123">
        <f>ROUND(N20*0.9, 0)</f>
        <v>22</v>
      </c>
      <c r="O21" s="126">
        <f>SUM(YPS_Ranges[[#This Row],[Q1]:[Q4]])</f>
        <v>272</v>
      </c>
      <c r="P21" s="122"/>
      <c r="Q21" s="123" t="s">
        <v>133</v>
      </c>
      <c r="R21" s="124" t="s">
        <v>135</v>
      </c>
      <c r="S21" s="123">
        <f>ROUND(S20*0.9, 0)</f>
        <v>91</v>
      </c>
      <c r="T21" s="123">
        <f t="shared" ref="T21:V21" si="10">ROUND(T20*0.9, 0)</f>
        <v>91</v>
      </c>
      <c r="U21" s="123">
        <f t="shared" si="10"/>
        <v>68</v>
      </c>
      <c r="V21" s="123">
        <f t="shared" si="10"/>
        <v>22</v>
      </c>
      <c r="W21" s="127">
        <f>SUM(YPI_Ranges[[#This Row],[Q1]:[Q4]])</f>
        <v>272</v>
      </c>
    </row>
    <row r="22" spans="1:23" ht="15.75" x14ac:dyDescent="0.2">
      <c r="A22" s="134"/>
      <c r="B22" s="134"/>
      <c r="C22" s="134"/>
      <c r="D22" s="134"/>
      <c r="E22" s="134"/>
      <c r="F22" s="134"/>
      <c r="G22" s="134"/>
      <c r="H22" s="122"/>
      <c r="I22" s="135"/>
      <c r="J22" s="136"/>
      <c r="K22" s="135"/>
      <c r="L22" s="135"/>
      <c r="M22" s="135"/>
      <c r="N22" s="135"/>
      <c r="O22" s="135"/>
      <c r="P22" s="122"/>
      <c r="Q22" s="135"/>
      <c r="R22" s="136"/>
      <c r="S22" s="135"/>
      <c r="T22" s="135"/>
      <c r="U22" s="135"/>
      <c r="V22" s="135"/>
      <c r="W22" s="135"/>
    </row>
    <row r="23" spans="1:23" ht="31.5" x14ac:dyDescent="0.2">
      <c r="A23" s="123" t="s">
        <v>128</v>
      </c>
      <c r="B23" s="124" t="s">
        <v>136</v>
      </c>
      <c r="C23" s="123">
        <f>ROUND(C24*1.1, 0)</f>
        <v>231</v>
      </c>
      <c r="D23" s="123">
        <f>ROUND(D24*1.1, 0)</f>
        <v>231</v>
      </c>
      <c r="E23" s="123">
        <f t="shared" ref="E23:F23" si="11">ROUND(E24*1.1, 0)</f>
        <v>174</v>
      </c>
      <c r="F23" s="123">
        <f t="shared" si="11"/>
        <v>57</v>
      </c>
      <c r="G23" s="125">
        <f>SUM(YPU_Ranges[[#This Row],[Q1]:[Q4]])</f>
        <v>693</v>
      </c>
      <c r="H23" s="122"/>
      <c r="I23" s="123" t="s">
        <v>128</v>
      </c>
      <c r="J23" s="124" t="s">
        <v>134</v>
      </c>
      <c r="K23" s="123">
        <f>ROUND(K24*1.1, 0)</f>
        <v>246</v>
      </c>
      <c r="L23" s="123">
        <f t="shared" ref="L23:N23" si="12">ROUND(L24*1.1, 0)</f>
        <v>246</v>
      </c>
      <c r="M23" s="123">
        <f t="shared" si="12"/>
        <v>185</v>
      </c>
      <c r="N23" s="123">
        <f t="shared" si="12"/>
        <v>62</v>
      </c>
      <c r="O23" s="126">
        <f>SUM(YPS_Ranges[[#This Row],[Q1]:[Q4]])</f>
        <v>739</v>
      </c>
      <c r="P23" s="122"/>
      <c r="Q23" s="123" t="s">
        <v>128</v>
      </c>
      <c r="R23" s="124" t="s">
        <v>137</v>
      </c>
      <c r="S23" s="123">
        <f>ROUND(S24*1.1, 0)</f>
        <v>12</v>
      </c>
      <c r="T23" s="123">
        <f t="shared" ref="T23:V23" si="13">ROUND(T24*1.1, 0)</f>
        <v>12</v>
      </c>
      <c r="U23" s="123">
        <f t="shared" si="13"/>
        <v>9</v>
      </c>
      <c r="V23" s="123">
        <f t="shared" si="13"/>
        <v>2</v>
      </c>
      <c r="W23" s="127">
        <f>SUM(YPI_Ranges[[#This Row],[Q1]:[Q4]])</f>
        <v>35</v>
      </c>
    </row>
    <row r="24" spans="1:23" ht="31.5" x14ac:dyDescent="0.2">
      <c r="A24" s="129" t="s">
        <v>131</v>
      </c>
      <c r="B24" s="129" t="s">
        <v>136</v>
      </c>
      <c r="C24" s="130">
        <f>ROUND(YPU_Ranges[[#This Row],[Annual]]*0.333,0)</f>
        <v>210</v>
      </c>
      <c r="D24" s="130">
        <f>ROUND(YPU_Ranges[[#This Row],[Annual]]*0.333,0)</f>
        <v>210</v>
      </c>
      <c r="E24" s="130">
        <f>ROUND((YPU_Ranges[[#This Row],[Annual]])*(0.75*0.334),0)</f>
        <v>158</v>
      </c>
      <c r="F24" s="130">
        <f>IF(ROUND(YPU_Ranges[[#This Row],[Annual]]*(0.25*0.334),0)+SUM(YPU_Ranges[[#This Row],[Q1]]:YPU_Ranges[[#This Row],[Q3]])&lt;&gt;YPU_Ranges[[#This Row],[Annual]], YPU_Ranges[[#This Row],[Annual]]-(SUM(YPU_Ranges[[#This Row],[Q1]]:YPU_Ranges[[#This Row],[Q3]])), ROUND(YPU_Ranges[[#This Row],[Annual]]*(0.25*0.334),0))</f>
        <v>52</v>
      </c>
      <c r="G24" s="131" cm="1">
        <f t="array" ref="G24">ROUND(_xlfn.XLOOKUP(1, (Calculations_Edu[Prog Type]="YPU") * (Calculations_Edu[Curriculum]=YPU_Ranges[[#This Row],[Curriculum]]), Calculations_Edu[Annual Youth/FTE],0)*Edu_POE, 0)</f>
        <v>630</v>
      </c>
      <c r="H24" s="118"/>
      <c r="I24" s="129" t="s">
        <v>131</v>
      </c>
      <c r="J24" s="124" t="s">
        <v>134</v>
      </c>
      <c r="K24" s="128">
        <f>ROUND(YPS_Ranges[[#This Row],[Annual]]*0.333, 0)</f>
        <v>224</v>
      </c>
      <c r="L24" s="128">
        <f>ROUND(YPS_Ranges[[#This Row],[Annual]]*0.333, 0)</f>
        <v>224</v>
      </c>
      <c r="M24" s="128">
        <f>ROUND((YPS_Ranges[[#This Row],[Annual]])*(0.75*0.334), 0)</f>
        <v>168</v>
      </c>
      <c r="N24" s="130">
        <f>IF(ROUND(YPS_Ranges[[#This Row],[Annual]]*(0.25*0.334),0)+SUM(YPS_Ranges[[#This Row],[Q1]]:YPS_Ranges[[#This Row],[Q3]])&lt;&gt;YPS_Ranges[[#This Row],[Annual]], YPS_Ranges[[#This Row],[Annual]]-(SUM(YPS_Ranges[[#This Row],[Q1]]:YPS_Ranges[[#This Row],[Q3]])), ROUND(YPS_Ranges[[#This Row],[Annual]]*(0.25*0.334),0))</f>
        <v>56</v>
      </c>
      <c r="O24" s="137" cm="1">
        <f t="array" ref="O24">ROUND(_xlfn.XLOOKUP(1, (Calculations_Edu[Prog Type]="YPS") * (Calculations_Edu[Curriculum]=YPS_Ranges[[#This Row],[Curriculum]]), Calculations_Edu[Annual Youth/FTE],0)*Edu_POE, 0)</f>
        <v>672</v>
      </c>
      <c r="P24" s="122"/>
      <c r="Q24" s="129" t="s">
        <v>131</v>
      </c>
      <c r="R24" s="129" t="s">
        <v>137</v>
      </c>
      <c r="S24" s="128">
        <f>ROUND(YPI_Ranges[[#This Row],[Annual]]*0.333, 0)</f>
        <v>11</v>
      </c>
      <c r="T24" s="128">
        <f>ROUND(YPI_Ranges[[#This Row],[Annual]]*0.333, 0)</f>
        <v>11</v>
      </c>
      <c r="U24" s="128">
        <f>ROUND((YPI_Ranges[[#This Row],[Annual]])*(0.75*0.334), 0)</f>
        <v>8</v>
      </c>
      <c r="V24" s="130">
        <f>IF(ROUND(YPI_Ranges[[#This Row],[Annual]]*(0.25*0.334),0)+SUM(YPI_Ranges[[#This Row],[Q1]]:YPI_Ranges[[#This Row],[Q3]])&lt;&gt;YPI_Ranges[[#This Row],[Annual]], YPI_Ranges[[#This Row],[Annual]]-(SUM(YPI_Ranges[[#This Row],[Q1]]:YPI_Ranges[[#This Row],[Q3]])), ROUND(YPI_Ranges[[#This Row],[Annual]]*(0.25*0.334),0))</f>
        <v>2</v>
      </c>
      <c r="W24" s="133" cm="1">
        <f t="array" ref="W24">ROUND(_xlfn.XLOOKUP(1, (Calculations_Edu[Prog Type]="YPI") * (Calculations_Edu[Curriculum]=YPI_Ranges[[#This Row],[Curriculum]]), Calculations_Edu[Annual Youth/FTE],0)*Edu_POE, 0)</f>
        <v>32</v>
      </c>
    </row>
    <row r="25" spans="1:23" ht="31.5" x14ac:dyDescent="0.2">
      <c r="A25" s="123" t="s">
        <v>133</v>
      </c>
      <c r="B25" s="124" t="s">
        <v>136</v>
      </c>
      <c r="C25" s="123">
        <f>ROUND(C24*0.9, 0)</f>
        <v>189</v>
      </c>
      <c r="D25" s="123">
        <f t="shared" ref="D25:F25" si="14">ROUND(D24*0.9, 0)</f>
        <v>189</v>
      </c>
      <c r="E25" s="123">
        <f t="shared" si="14"/>
        <v>142</v>
      </c>
      <c r="F25" s="123">
        <f t="shared" si="14"/>
        <v>47</v>
      </c>
      <c r="G25" s="125">
        <f>SUM(YPU_Ranges[[#This Row],[Q1]:[Q4]])</f>
        <v>567</v>
      </c>
      <c r="H25" s="122"/>
      <c r="I25" s="123" t="s">
        <v>133</v>
      </c>
      <c r="J25" s="124" t="s">
        <v>134</v>
      </c>
      <c r="K25" s="123">
        <f>ROUND(K24*0.9, 0)</f>
        <v>202</v>
      </c>
      <c r="L25" s="123">
        <f t="shared" ref="L25:N25" si="15">ROUND(L24*0.9, 0)</f>
        <v>202</v>
      </c>
      <c r="M25" s="123">
        <f t="shared" si="15"/>
        <v>151</v>
      </c>
      <c r="N25" s="123">
        <f t="shared" si="15"/>
        <v>50</v>
      </c>
      <c r="O25" s="126">
        <f>SUM(YPS_Ranges[[#This Row],[Q1]:[Q4]])</f>
        <v>605</v>
      </c>
      <c r="P25" s="122"/>
      <c r="Q25" s="123" t="s">
        <v>133</v>
      </c>
      <c r="R25" s="124" t="s">
        <v>137</v>
      </c>
      <c r="S25" s="123">
        <f>ROUND(S24*0.9, 0)</f>
        <v>10</v>
      </c>
      <c r="T25" s="123">
        <f t="shared" ref="T25:V25" si="16">ROUND(T24*0.9, 0)</f>
        <v>10</v>
      </c>
      <c r="U25" s="123">
        <f t="shared" si="16"/>
        <v>7</v>
      </c>
      <c r="V25" s="123">
        <f t="shared" si="16"/>
        <v>2</v>
      </c>
      <c r="W25" s="127">
        <f>SUM(YPI_Ranges[[#This Row],[Q1]:[Q4]])</f>
        <v>29</v>
      </c>
    </row>
    <row r="26" spans="1:23" ht="15.75" x14ac:dyDescent="0.2">
      <c r="A26" s="134"/>
      <c r="B26" s="134"/>
      <c r="C26" s="134"/>
      <c r="D26" s="134"/>
      <c r="E26" s="134"/>
      <c r="F26" s="134"/>
      <c r="G26" s="134"/>
      <c r="H26" s="122"/>
      <c r="I26" s="135"/>
      <c r="J26" s="136"/>
      <c r="K26" s="135"/>
      <c r="L26" s="135"/>
      <c r="M26" s="135"/>
      <c r="N26" s="135"/>
      <c r="O26" s="135"/>
      <c r="P26" s="122"/>
      <c r="Q26" s="123"/>
      <c r="R26" s="124"/>
      <c r="S26" s="123"/>
      <c r="T26" s="123"/>
      <c r="U26" s="123"/>
      <c r="V26" s="123"/>
      <c r="W26" s="123"/>
    </row>
    <row r="27" spans="1:23" ht="15.75" x14ac:dyDescent="0.2">
      <c r="A27" s="123" t="s">
        <v>128</v>
      </c>
      <c r="B27" s="124" t="s">
        <v>138</v>
      </c>
      <c r="C27" s="123">
        <f>ROUND(C28*1.1, 0)</f>
        <v>308</v>
      </c>
      <c r="D27" s="123">
        <f>ROUND(D28*1.1, 0)</f>
        <v>308</v>
      </c>
      <c r="E27" s="123">
        <f>ROUND(E28*1.1, 0)</f>
        <v>231</v>
      </c>
      <c r="F27" s="123">
        <f>ROUND(F28*1.1, 0)</f>
        <v>77</v>
      </c>
      <c r="G27" s="125">
        <f>SUM(YPU_Ranges[[#This Row],[Q1]:[Q4]])</f>
        <v>924</v>
      </c>
      <c r="H27" s="122"/>
      <c r="I27" s="123" t="s">
        <v>128</v>
      </c>
      <c r="J27" s="124" t="s">
        <v>138</v>
      </c>
      <c r="K27" s="123">
        <f>ROUND(K28*1.1, 0)</f>
        <v>246</v>
      </c>
      <c r="L27" s="123">
        <f t="shared" ref="L27:N27" si="17">ROUND(L28*1.1, 0)</f>
        <v>246</v>
      </c>
      <c r="M27" s="123">
        <f t="shared" si="17"/>
        <v>185</v>
      </c>
      <c r="N27" s="123">
        <f t="shared" si="17"/>
        <v>62</v>
      </c>
      <c r="O27" s="126">
        <f>SUM(YPS_Ranges[[#This Row],[Q1]:[Q4]])</f>
        <v>739</v>
      </c>
      <c r="P27" s="122"/>
      <c r="Q27" s="138" t="s">
        <v>126</v>
      </c>
      <c r="R27" s="129" t="s">
        <v>137</v>
      </c>
      <c r="S27" s="123">
        <f>ROUND(S28*1.1, 0)</f>
        <v>9</v>
      </c>
      <c r="T27" s="123">
        <f t="shared" ref="T27:V27" si="18">ROUND(T28*1.1, 0)</f>
        <v>9</v>
      </c>
      <c r="U27" s="123">
        <f t="shared" si="18"/>
        <v>7</v>
      </c>
      <c r="V27" s="123">
        <f t="shared" si="18"/>
        <v>2</v>
      </c>
      <c r="W27" s="127">
        <f>SUM(YPI_Ranges[[#This Row],[Q1]:[Q4]])</f>
        <v>27</v>
      </c>
    </row>
    <row r="28" spans="1:23" ht="15.75" x14ac:dyDescent="0.2">
      <c r="A28" s="129" t="s">
        <v>131</v>
      </c>
      <c r="B28" s="129" t="s">
        <v>138</v>
      </c>
      <c r="C28" s="130">
        <f>ROUND(YPU_Ranges[[#This Row],[Annual]]*0.333,0)</f>
        <v>280</v>
      </c>
      <c r="D28" s="130">
        <f>ROUND(YPU_Ranges[[#This Row],[Annual]]*0.333,0)</f>
        <v>280</v>
      </c>
      <c r="E28" s="130">
        <f>ROUND((YPU_Ranges[[#This Row],[Annual]])*(0.75*0.334),0)</f>
        <v>210</v>
      </c>
      <c r="F28" s="130">
        <f>IF(ROUND(YPU_Ranges[[#This Row],[Annual]]*(0.25*0.334),0)+SUM(YPU_Ranges[[#This Row],[Q1]]:YPU_Ranges[[#This Row],[Q3]])&lt;&gt;YPU_Ranges[[#This Row],[Annual]], YPU_Ranges[[#This Row],[Annual]]-(SUM(YPU_Ranges[[#This Row],[Q1]]:YPU_Ranges[[#This Row],[Q3]])), ROUND(YPU_Ranges[[#This Row],[Annual]]*(0.25*0.334),0))</f>
        <v>70</v>
      </c>
      <c r="G28" s="131" cm="1">
        <f t="array" ref="G28">ROUND(_xlfn.XLOOKUP(1, (Calculations_Edu[Prog Type]="YPU") * (Calculations_Edu[Curriculum]=YPU_Ranges[[#This Row],[Curriculum]]), Calculations_Edu[Annual Youth/FTE],0)*Edu_POE, 0)</f>
        <v>840</v>
      </c>
      <c r="H28" s="122"/>
      <c r="I28" s="129" t="s">
        <v>131</v>
      </c>
      <c r="J28" s="129" t="s">
        <v>138</v>
      </c>
      <c r="K28" s="128">
        <f>ROUND(YPS_Ranges[[#This Row],[Annual]]*0.333, 0)</f>
        <v>224</v>
      </c>
      <c r="L28" s="128">
        <f>ROUND(YPS_Ranges[[#This Row],[Annual]]*0.333, 0)</f>
        <v>224</v>
      </c>
      <c r="M28" s="128">
        <f>ROUND((YPS_Ranges[[#This Row],[Annual]])*(0.75*0.334), 0)</f>
        <v>168</v>
      </c>
      <c r="N28" s="130">
        <f>IF(ROUND(YPS_Ranges[[#This Row],[Annual]]*(0.25*0.334),0)+SUM(YPS_Ranges[[#This Row],[Q1]]:YPS_Ranges[[#This Row],[Q3]])&lt;&gt;YPS_Ranges[[#This Row],[Annual]], YPS_Ranges[[#This Row],[Annual]]-(SUM(YPS_Ranges[[#This Row],[Q1]]:YPS_Ranges[[#This Row],[Q3]])), ROUND(YPS_Ranges[[#This Row],[Annual]]*(0.25*0.334),0))</f>
        <v>56</v>
      </c>
      <c r="O28" s="137" cm="1">
        <f t="array" ref="O28">ROUND(_xlfn.XLOOKUP(1, (Calculations_Edu[Prog Type]="YPS") * (Calculations_Edu[Curriculum]=YPS_Ranges[[#This Row],[Curriculum]]), Calculations_Edu[Annual Youth/FTE],0)*Edu_POE, 0)</f>
        <v>672</v>
      </c>
      <c r="P28" s="122"/>
      <c r="Q28" s="129" t="s">
        <v>130</v>
      </c>
      <c r="R28" s="129" t="s">
        <v>137</v>
      </c>
      <c r="S28" s="128">
        <f>ROUND(YPI_Ranges[[#This Row],[Annual]]*0.333, 0)</f>
        <v>8</v>
      </c>
      <c r="T28" s="128">
        <f>ROUND(YPI_Ranges[[#This Row],[Annual]]*0.333, 0)</f>
        <v>8</v>
      </c>
      <c r="U28" s="128">
        <f>ROUND((YPI_Ranges[[#This Row],[Annual]])*(0.75*0.334), 0)</f>
        <v>6</v>
      </c>
      <c r="V28" s="130">
        <f>IF(ROUND(YPI_Ranges[[#This Row],[Annual]]*(0.25*0.334),0)+SUM(YPI_Ranges[[#This Row],[Q1]]:YPI_Ranges[[#This Row],[Q3]])&lt;&gt;YPI_Ranges[[#This Row],[Annual]], YPI_Ranges[[#This Row],[Annual]]-(SUM(YPI_Ranges[[#This Row],[Q1]]:YPI_Ranges[[#This Row],[Q3]])), ROUND(YPI_Ranges[[#This Row],[Annual]]*(0.25*0.334),0))</f>
        <v>2</v>
      </c>
      <c r="W28" s="133" cm="1">
        <f t="array" ref="W28">ROUND(_xlfn.XLOOKUP(1, (Calculations_Edu[Prog Type]="YPI") * (Calculations_Edu[Curriculum]=YPI_Ranges[[#This Row],[Curriculum]]), Calculations_Edu[Annual Adults/FTE],0)*Edu_POE, 0)</f>
        <v>24</v>
      </c>
    </row>
    <row r="29" spans="1:23" ht="15.75" x14ac:dyDescent="0.2">
      <c r="A29" s="123" t="s">
        <v>133</v>
      </c>
      <c r="B29" s="124" t="s">
        <v>138</v>
      </c>
      <c r="C29" s="123">
        <f>ROUND(C28*0.9, 0)</f>
        <v>252</v>
      </c>
      <c r="D29" s="123">
        <f>ROUND(D28*0.9, 0)</f>
        <v>252</v>
      </c>
      <c r="E29" s="123">
        <f>ROUND(E28*0.9, 0)</f>
        <v>189</v>
      </c>
      <c r="F29" s="123">
        <f>ROUND(F28*0.9, 0)</f>
        <v>63</v>
      </c>
      <c r="G29" s="125">
        <f>SUM(YPU_Ranges[[#This Row],[Q1]:[Q4]])</f>
        <v>756</v>
      </c>
      <c r="H29" s="122"/>
      <c r="I29" s="123" t="s">
        <v>133</v>
      </c>
      <c r="J29" s="124" t="s">
        <v>138</v>
      </c>
      <c r="K29" s="123">
        <f>ROUND(K28*0.9, 0)</f>
        <v>202</v>
      </c>
      <c r="L29" s="123">
        <f t="shared" ref="L29:N29" si="19">ROUND(L28*0.9, 0)</f>
        <v>202</v>
      </c>
      <c r="M29" s="123">
        <f t="shared" si="19"/>
        <v>151</v>
      </c>
      <c r="N29" s="123">
        <f t="shared" si="19"/>
        <v>50</v>
      </c>
      <c r="O29" s="126">
        <f>SUM(YPS_Ranges[[#This Row],[Q1]:[Q4]])</f>
        <v>605</v>
      </c>
      <c r="P29" s="122"/>
      <c r="Q29" s="138" t="s">
        <v>132</v>
      </c>
      <c r="R29" s="129" t="s">
        <v>137</v>
      </c>
      <c r="S29" s="123">
        <f>ROUND(S28*0.9, 0)</f>
        <v>7</v>
      </c>
      <c r="T29" s="123">
        <f t="shared" ref="T29:V29" si="20">ROUND(T28*0.9, 0)</f>
        <v>7</v>
      </c>
      <c r="U29" s="123">
        <f t="shared" si="20"/>
        <v>5</v>
      </c>
      <c r="V29" s="123">
        <f t="shared" si="20"/>
        <v>2</v>
      </c>
      <c r="W29" s="127">
        <f>SUM(YPI_Ranges[[#This Row],[Q1]:[Q4]])</f>
        <v>21</v>
      </c>
    </row>
    <row r="30" spans="1:23" ht="15.75" x14ac:dyDescent="0.2">
      <c r="A30" s="134"/>
      <c r="B30" s="134"/>
      <c r="C30" s="134"/>
      <c r="D30" s="134"/>
      <c r="E30" s="134"/>
      <c r="F30" s="134"/>
      <c r="G30" s="134"/>
      <c r="H30" s="122"/>
      <c r="I30" s="135"/>
      <c r="J30" s="136"/>
      <c r="K30" s="135"/>
      <c r="L30" s="135"/>
      <c r="M30" s="135"/>
      <c r="N30" s="135"/>
      <c r="O30" s="135"/>
      <c r="P30" s="122"/>
      <c r="Q30" s="135"/>
      <c r="R30" s="136"/>
      <c r="S30" s="135"/>
      <c r="T30" s="135"/>
      <c r="U30" s="135"/>
      <c r="V30" s="135"/>
      <c r="W30" s="135"/>
    </row>
    <row r="31" spans="1:23" ht="15.75" x14ac:dyDescent="0.2">
      <c r="A31" s="123" t="s">
        <v>128</v>
      </c>
      <c r="B31" s="124" t="s">
        <v>137</v>
      </c>
      <c r="C31" s="123">
        <f>ROUND(C32*1.1, 0)</f>
        <v>12</v>
      </c>
      <c r="D31" s="123">
        <f t="shared" ref="D31:F31" si="21">ROUND(D32*1.1, 0)</f>
        <v>12</v>
      </c>
      <c r="E31" s="123">
        <f t="shared" si="21"/>
        <v>9</v>
      </c>
      <c r="F31" s="123">
        <f t="shared" si="21"/>
        <v>2</v>
      </c>
      <c r="G31" s="125">
        <f>SUM(YPU_Ranges[[#This Row],[Q1]:[Q4]])</f>
        <v>35</v>
      </c>
      <c r="H31" s="122"/>
      <c r="I31" s="123" t="s">
        <v>128</v>
      </c>
      <c r="J31" s="124" t="s">
        <v>137</v>
      </c>
      <c r="K31" s="123">
        <f>ROUND(K32*1.1, 0)</f>
        <v>12</v>
      </c>
      <c r="L31" s="123">
        <f t="shared" ref="L31:N31" si="22">ROUND(L32*1.1, 0)</f>
        <v>12</v>
      </c>
      <c r="M31" s="123">
        <f t="shared" si="22"/>
        <v>9</v>
      </c>
      <c r="N31" s="123">
        <f t="shared" si="22"/>
        <v>2</v>
      </c>
      <c r="O31" s="126">
        <f>SUM(YPS_Ranges[[#This Row],[Q1]:[Q4]])</f>
        <v>35</v>
      </c>
      <c r="P31" s="122"/>
      <c r="Q31" s="123" t="s">
        <v>128</v>
      </c>
      <c r="R31" s="124" t="s">
        <v>139</v>
      </c>
      <c r="S31" s="123">
        <f>ROUND(S32*1.1, 0)</f>
        <v>9</v>
      </c>
      <c r="T31" s="123">
        <f t="shared" ref="T31:V31" si="23">ROUND(T32*1.1, 0)</f>
        <v>9</v>
      </c>
      <c r="U31" s="123">
        <f t="shared" si="23"/>
        <v>7</v>
      </c>
      <c r="V31" s="123">
        <f t="shared" si="23"/>
        <v>2</v>
      </c>
      <c r="W31" s="127">
        <f>SUM(YPI_Ranges[[#This Row],[Q1]:[Q4]])</f>
        <v>27</v>
      </c>
    </row>
    <row r="32" spans="1:23" ht="15.75" x14ac:dyDescent="0.2">
      <c r="A32" s="129" t="s">
        <v>131</v>
      </c>
      <c r="B32" s="129" t="s">
        <v>137</v>
      </c>
      <c r="C32" s="130">
        <f>ROUND(YPU_Ranges[[#This Row],[Annual]]*0.333,0)</f>
        <v>11</v>
      </c>
      <c r="D32" s="130">
        <f>ROUND(YPU_Ranges[[#This Row],[Annual]]*0.333,0)</f>
        <v>11</v>
      </c>
      <c r="E32" s="130">
        <f>ROUND((YPU_Ranges[[#This Row],[Annual]])*(0.75*0.334),0)</f>
        <v>8</v>
      </c>
      <c r="F32" s="130">
        <f>IF(ROUND(YPU_Ranges[[#This Row],[Annual]]*(0.25*0.334),0)+SUM(YPU_Ranges[[#This Row],[Q1]]:YPU_Ranges[[#This Row],[Q3]])&lt;&gt;YPU_Ranges[[#This Row],[Annual]], YPU_Ranges[[#This Row],[Annual]]-(SUM(YPU_Ranges[[#This Row],[Q1]]:YPU_Ranges[[#This Row],[Q3]])), ROUND(YPU_Ranges[[#This Row],[Annual]]*(0.25*0.334),0))</f>
        <v>2</v>
      </c>
      <c r="G32" s="131" cm="1">
        <f t="array" ref="G32">ROUND(_xlfn.XLOOKUP(1, (Calculations_Edu[Prog Type]="YPU") * (Calculations_Edu[Curriculum]=YPU_Ranges[[#This Row],[Curriculum]]), Calculations_Edu[Annual Youth/FTE],0)*Edu_POE, 0)</f>
        <v>32</v>
      </c>
      <c r="H32" s="122"/>
      <c r="I32" s="129" t="s">
        <v>131</v>
      </c>
      <c r="J32" s="129" t="s">
        <v>137</v>
      </c>
      <c r="K32" s="128">
        <f>ROUND(YPS_Ranges[[#This Row],[Annual]]*0.333, 0)</f>
        <v>11</v>
      </c>
      <c r="L32" s="128">
        <f>ROUND(YPS_Ranges[[#This Row],[Annual]]*0.333, 0)</f>
        <v>11</v>
      </c>
      <c r="M32" s="128">
        <f>ROUND((YPS_Ranges[[#This Row],[Annual]])*(0.75*0.334), 0)</f>
        <v>8</v>
      </c>
      <c r="N32" s="130">
        <f>IF(ROUND(YPS_Ranges[[#This Row],[Annual]]*(0.25*0.334),0)+SUM(YPS_Ranges[[#This Row],[Q1]]:YPS_Ranges[[#This Row],[Q3]])&lt;&gt;YPS_Ranges[[#This Row],[Annual]], YPS_Ranges[[#This Row],[Annual]]-(SUM(YPS_Ranges[[#This Row],[Q1]]:YPS_Ranges[[#This Row],[Q3]])), ROUND(YPS_Ranges[[#This Row],[Annual]]*(0.25*0.334),0))</f>
        <v>2</v>
      </c>
      <c r="O32" s="137" cm="1">
        <f t="array" ref="O32">ROUND(_xlfn.XLOOKUP(1, (Calculations_Edu[Prog Type]="YPS") * (Calculations_Edu[Curriculum]=YPS_Ranges[[#This Row],[Curriculum]]), Calculations_Edu[Annual Youth/FTE],0)*Edu_POE, 0)</f>
        <v>32</v>
      </c>
      <c r="P32" s="122"/>
      <c r="Q32" s="129" t="s">
        <v>131</v>
      </c>
      <c r="R32" s="129" t="s">
        <v>139</v>
      </c>
      <c r="S32" s="128">
        <f>ROUND(YPI_Ranges[[#This Row],[Annual]]*0.333, 0)</f>
        <v>8</v>
      </c>
      <c r="T32" s="128">
        <f>ROUND(YPI_Ranges[[#This Row],[Annual]]*0.333, 0)</f>
        <v>8</v>
      </c>
      <c r="U32" s="128">
        <f>ROUND((YPI_Ranges[[#This Row],[Annual]])*(0.75*0.334), 0)</f>
        <v>6</v>
      </c>
      <c r="V32" s="130">
        <f>IF(ROUND(YPI_Ranges[[#This Row],[Annual]]*(0.25*0.334),0)+SUM(YPI_Ranges[[#This Row],[Q1]]:YPI_Ranges[[#This Row],[Q3]])&lt;&gt;YPI_Ranges[[#This Row],[Annual]], YPI_Ranges[[#This Row],[Annual]]-(SUM(YPI_Ranges[[#This Row],[Q1]]:YPI_Ranges[[#This Row],[Q3]])), ROUND(YPI_Ranges[[#This Row],[Annual]]*(0.25*0.334),0))</f>
        <v>2</v>
      </c>
      <c r="W32" s="133" cm="1">
        <f t="array" ref="W32">ROUND(_xlfn.XLOOKUP(1, (Calculations_Edu[Prog Type]="YPI") * (Calculations_Edu[Curriculum]=YPI_Ranges[[#This Row],[Curriculum]]), Calculations_Edu[Annual Youth/FTE],0)*Edu_POE, 0)</f>
        <v>24</v>
      </c>
    </row>
    <row r="33" spans="1:23" ht="15.75" x14ac:dyDescent="0.2">
      <c r="A33" s="123" t="s">
        <v>133</v>
      </c>
      <c r="B33" s="124" t="s">
        <v>137</v>
      </c>
      <c r="C33" s="123">
        <f>ROUND(C32*0.9, 0)</f>
        <v>10</v>
      </c>
      <c r="D33" s="123">
        <f t="shared" ref="D33:F33" si="24">ROUND(D32*0.9, 0)</f>
        <v>10</v>
      </c>
      <c r="E33" s="123">
        <f t="shared" si="24"/>
        <v>7</v>
      </c>
      <c r="F33" s="123">
        <f t="shared" si="24"/>
        <v>2</v>
      </c>
      <c r="G33" s="125">
        <f>SUM(YPU_Ranges[[#This Row],[Q1]:[Q4]])</f>
        <v>29</v>
      </c>
      <c r="H33" s="122"/>
      <c r="I33" s="123" t="s">
        <v>133</v>
      </c>
      <c r="J33" s="124" t="s">
        <v>137</v>
      </c>
      <c r="K33" s="123">
        <f>ROUND(K32*0.9, 0)</f>
        <v>10</v>
      </c>
      <c r="L33" s="123">
        <f t="shared" ref="L33:N33" si="25">ROUND(L32*0.9, 0)</f>
        <v>10</v>
      </c>
      <c r="M33" s="123">
        <f t="shared" si="25"/>
        <v>7</v>
      </c>
      <c r="N33" s="123">
        <f t="shared" si="25"/>
        <v>2</v>
      </c>
      <c r="O33" s="126">
        <f>SUM(YPS_Ranges[[#This Row],[Q1]:[Q4]])</f>
        <v>29</v>
      </c>
      <c r="P33" s="122"/>
      <c r="Q33" s="123" t="s">
        <v>133</v>
      </c>
      <c r="R33" s="124" t="s">
        <v>139</v>
      </c>
      <c r="S33" s="123">
        <f>ROUND(S32*0.9, 0)</f>
        <v>7</v>
      </c>
      <c r="T33" s="123">
        <f t="shared" ref="T33:V33" si="26">ROUND(T32*0.9, 0)</f>
        <v>7</v>
      </c>
      <c r="U33" s="123">
        <f t="shared" si="26"/>
        <v>5</v>
      </c>
      <c r="V33" s="123">
        <f t="shared" si="26"/>
        <v>2</v>
      </c>
      <c r="W33" s="127">
        <f>SUM(YPI_Ranges[[#This Row],[Q1]:[Q4]])</f>
        <v>21</v>
      </c>
    </row>
    <row r="34" spans="1:23" ht="15.75" x14ac:dyDescent="0.2">
      <c r="A34" s="123"/>
      <c r="B34" s="124"/>
      <c r="C34" s="123"/>
      <c r="D34" s="123"/>
      <c r="E34" s="123"/>
      <c r="F34" s="123"/>
      <c r="G34" s="123"/>
      <c r="H34" s="122"/>
      <c r="I34" s="123"/>
      <c r="J34" s="124"/>
      <c r="K34" s="123"/>
      <c r="L34" s="123"/>
      <c r="M34" s="123"/>
      <c r="N34" s="123"/>
      <c r="O34" s="123"/>
      <c r="P34" s="122"/>
      <c r="Q34" s="123"/>
      <c r="R34" s="124"/>
      <c r="S34" s="123"/>
      <c r="T34" s="123"/>
      <c r="U34" s="123"/>
      <c r="V34" s="123"/>
      <c r="W34" s="123"/>
    </row>
    <row r="35" spans="1:23" ht="15.75" x14ac:dyDescent="0.2">
      <c r="A35" s="138" t="s">
        <v>126</v>
      </c>
      <c r="B35" s="124" t="s">
        <v>137</v>
      </c>
      <c r="C35" s="123">
        <f>ROUND(C36*1.1, 0)</f>
        <v>9</v>
      </c>
      <c r="D35" s="123">
        <f t="shared" ref="D35:F35" si="27">ROUND(D36*1.1, 0)</f>
        <v>9</v>
      </c>
      <c r="E35" s="123">
        <f t="shared" si="27"/>
        <v>7</v>
      </c>
      <c r="F35" s="123">
        <f t="shared" si="27"/>
        <v>2</v>
      </c>
      <c r="G35" s="125">
        <f>SUM(YPU_Ranges[[#This Row],[Q1]:[Q4]])</f>
        <v>27</v>
      </c>
      <c r="H35" s="122"/>
      <c r="I35" s="138" t="s">
        <v>126</v>
      </c>
      <c r="J35" s="129" t="s">
        <v>137</v>
      </c>
      <c r="K35" s="123">
        <f>ROUND(K36*1.1, 0)</f>
        <v>9</v>
      </c>
      <c r="L35" s="123">
        <f t="shared" ref="L35:N35" si="28">ROUND(L36*1.1, 0)</f>
        <v>9</v>
      </c>
      <c r="M35" s="123">
        <f t="shared" si="28"/>
        <v>7</v>
      </c>
      <c r="N35" s="123">
        <f t="shared" si="28"/>
        <v>2</v>
      </c>
      <c r="O35" s="126">
        <f>SUM(YPS_Ranges[[#This Row],[Q1]:[Q4]])</f>
        <v>27</v>
      </c>
      <c r="P35" s="122"/>
      <c r="Q35" s="138" t="s">
        <v>126</v>
      </c>
      <c r="R35" s="129" t="s">
        <v>139</v>
      </c>
      <c r="S35" s="123">
        <f>ROUND(S36*1.1, 0)</f>
        <v>7</v>
      </c>
      <c r="T35" s="123">
        <f t="shared" ref="T35:V35" si="29">ROUND(T36*1.1, 0)</f>
        <v>7</v>
      </c>
      <c r="U35" s="123">
        <f t="shared" si="29"/>
        <v>6</v>
      </c>
      <c r="V35" s="123">
        <f t="shared" si="29"/>
        <v>1</v>
      </c>
      <c r="W35" s="127">
        <f>SUM(YPI_Ranges[[#This Row],[Q1]:[Q4]])</f>
        <v>21</v>
      </c>
    </row>
    <row r="36" spans="1:23" ht="15.75" x14ac:dyDescent="0.2">
      <c r="A36" s="129" t="s">
        <v>130</v>
      </c>
      <c r="B36" s="129" t="s">
        <v>137</v>
      </c>
      <c r="C36" s="130">
        <f>ROUND(YPU_Ranges[[#This Row],[Annual]]*0.333,0)</f>
        <v>8</v>
      </c>
      <c r="D36" s="130">
        <f>ROUND(YPU_Ranges[[#This Row],[Annual]]*0.333,0)</f>
        <v>8</v>
      </c>
      <c r="E36" s="130">
        <f>ROUND((YPU_Ranges[[#This Row],[Annual]])*(0.75*0.334),0)</f>
        <v>6</v>
      </c>
      <c r="F36" s="130">
        <f>IF(ROUND(YPU_Ranges[[#This Row],[Annual]]*(0.25*0.334),0)+SUM(YPU_Ranges[[#This Row],[Q1]]:YPU_Ranges[[#This Row],[Q3]])&lt;&gt;YPU_Ranges[[#This Row],[Annual]], YPU_Ranges[[#This Row],[Annual]]-(SUM(YPU_Ranges[[#This Row],[Q1]]:YPU_Ranges[[#This Row],[Q3]])), ROUND(YPU_Ranges[[#This Row],[Annual]]*(0.25*0.334),0))</f>
        <v>2</v>
      </c>
      <c r="G36" s="131" cm="1">
        <f t="array" ref="G36">ROUND(_xlfn.XLOOKUP(1, (Calculations_Edu[Prog Type]="YPU") * (Calculations_Edu[Curriculum]=YPU_Ranges[[#This Row],[Curriculum]]), Calculations_Edu[Annual Adults/FTE],0)*Edu_POE, 0)</f>
        <v>24</v>
      </c>
      <c r="H36" s="122"/>
      <c r="I36" s="129" t="s">
        <v>130</v>
      </c>
      <c r="J36" s="129" t="s">
        <v>137</v>
      </c>
      <c r="K36" s="128">
        <f>ROUND(YPS_Ranges[[#This Row],[Annual]]*0.333, 0)</f>
        <v>8</v>
      </c>
      <c r="L36" s="128">
        <f>ROUND(YPS_Ranges[[#This Row],[Annual]]*0.333, 0)</f>
        <v>8</v>
      </c>
      <c r="M36" s="128">
        <f>ROUND((YPS_Ranges[[#This Row],[Annual]])*(0.75*0.334), 0)</f>
        <v>6</v>
      </c>
      <c r="N36" s="130">
        <f>IF(ROUND(YPS_Ranges[[#This Row],[Annual]]*(0.25*0.334),0)+SUM(YPS_Ranges[[#This Row],[Q1]]:YPS_Ranges[[#This Row],[Q3]])&lt;&gt;YPS_Ranges[[#This Row],[Annual]], YPS_Ranges[[#This Row],[Annual]]-(SUM(YPS_Ranges[[#This Row],[Q1]]:YPS_Ranges[[#This Row],[Q3]])), ROUND(YPS_Ranges[[#This Row],[Annual]]*(0.25*0.334),0))</f>
        <v>2</v>
      </c>
      <c r="O36" s="137" cm="1">
        <f t="array" ref="O36">ROUND(_xlfn.XLOOKUP(1, (Calculations_Edu[Prog Type]="YPS") * (Calculations_Edu[Curriculum]=YPS_Ranges[[#This Row],[Curriculum]]), Calculations_Edu[Annual Adults/FTE],0)*Edu_POE, 0)</f>
        <v>24</v>
      </c>
      <c r="P36" s="122"/>
      <c r="Q36" s="129" t="s">
        <v>130</v>
      </c>
      <c r="R36" s="129" t="s">
        <v>139</v>
      </c>
      <c r="S36" s="128">
        <f>ROUND(YPI_Ranges[[#This Row],[Annual]]*0.333, 0)</f>
        <v>6</v>
      </c>
      <c r="T36" s="128">
        <f>ROUND(YPI_Ranges[[#This Row],[Annual]]*0.333, 0)</f>
        <v>6</v>
      </c>
      <c r="U36" s="128">
        <f>ROUND((YPI_Ranges[[#This Row],[Annual]])*(0.75*0.334), 0)</f>
        <v>5</v>
      </c>
      <c r="V36" s="130">
        <f>IF(ROUND(YPI_Ranges[[#This Row],[Annual]]*(0.25*0.334),0)+SUM(YPI_Ranges[[#This Row],[Q1]]:YPI_Ranges[[#This Row],[Q3]])&lt;&gt;YPI_Ranges[[#This Row],[Annual]], YPI_Ranges[[#This Row],[Annual]]-(SUM(YPI_Ranges[[#This Row],[Q1]]:YPI_Ranges[[#This Row],[Q3]])), ROUND(YPI_Ranges[[#This Row],[Annual]]*(0.25*0.334),0))</f>
        <v>1</v>
      </c>
      <c r="W36" s="133" cm="1">
        <f t="array" ref="W36">ROUND(_xlfn.XLOOKUP(1, (Calculations_Edu[Prog Type]="YPI") * (Calculations_Edu[Curriculum]=YPI_Ranges[[#This Row],[Curriculum]]), Calculations_Edu[Annual Adults/FTE],0)*Edu_POE, 0)</f>
        <v>18</v>
      </c>
    </row>
    <row r="37" spans="1:23" ht="15.75" x14ac:dyDescent="0.2">
      <c r="A37" s="138" t="s">
        <v>132</v>
      </c>
      <c r="B37" s="124" t="s">
        <v>137</v>
      </c>
      <c r="C37" s="123">
        <f>ROUND(C36*0.9, 0)</f>
        <v>7</v>
      </c>
      <c r="D37" s="123">
        <f t="shared" ref="D37:F37" si="30">ROUND(D36*0.9, 0)</f>
        <v>7</v>
      </c>
      <c r="E37" s="123">
        <f t="shared" si="30"/>
        <v>5</v>
      </c>
      <c r="F37" s="123">
        <f t="shared" si="30"/>
        <v>2</v>
      </c>
      <c r="G37" s="125">
        <f>SUM(YPU_Ranges[[#This Row],[Q1]:[Q4]])</f>
        <v>21</v>
      </c>
      <c r="H37" s="122"/>
      <c r="I37" s="138" t="s">
        <v>132</v>
      </c>
      <c r="J37" s="129" t="s">
        <v>137</v>
      </c>
      <c r="K37" s="123">
        <f>ROUND(K36*0.9, 0)</f>
        <v>7</v>
      </c>
      <c r="L37" s="123">
        <f t="shared" ref="L37:N37" si="31">ROUND(L36*0.9, 0)</f>
        <v>7</v>
      </c>
      <c r="M37" s="123">
        <f t="shared" si="31"/>
        <v>5</v>
      </c>
      <c r="N37" s="123">
        <f t="shared" si="31"/>
        <v>2</v>
      </c>
      <c r="O37" s="126">
        <f>SUM(YPS_Ranges[[#This Row],[Q1]:[Q4]])</f>
        <v>21</v>
      </c>
      <c r="P37" s="122"/>
      <c r="Q37" s="138" t="s">
        <v>132</v>
      </c>
      <c r="R37" s="129" t="s">
        <v>139</v>
      </c>
      <c r="S37" s="123">
        <f>ROUND(S36*0.9, 0)</f>
        <v>5</v>
      </c>
      <c r="T37" s="123">
        <f t="shared" ref="T37:V37" si="32">ROUND(T36*0.9, 0)</f>
        <v>5</v>
      </c>
      <c r="U37" s="123">
        <f t="shared" si="32"/>
        <v>5</v>
      </c>
      <c r="V37" s="123">
        <f t="shared" si="32"/>
        <v>1</v>
      </c>
      <c r="W37" s="127">
        <f>SUM(YPI_Ranges[[#This Row],[Q1]:[Q4]])</f>
        <v>16</v>
      </c>
    </row>
    <row r="38" spans="1:23" ht="15.75" x14ac:dyDescent="0.2">
      <c r="A38" s="139"/>
      <c r="B38" s="140"/>
      <c r="C38" s="139"/>
      <c r="D38" s="139"/>
      <c r="E38" s="139"/>
      <c r="F38" s="139"/>
      <c r="G38" s="139"/>
      <c r="H38" s="122"/>
      <c r="I38" s="139"/>
      <c r="J38" s="140"/>
      <c r="K38" s="139"/>
      <c r="L38" s="139"/>
      <c r="M38" s="139"/>
      <c r="N38" s="139"/>
      <c r="O38" s="139"/>
      <c r="P38" s="122"/>
      <c r="Q38" s="122"/>
      <c r="R38" s="122"/>
      <c r="S38" s="122"/>
      <c r="T38" s="122"/>
      <c r="U38" s="122"/>
      <c r="V38" s="122"/>
      <c r="W38" s="122"/>
    </row>
    <row r="39" spans="1:23" ht="15.75" x14ac:dyDescent="0.2">
      <c r="A39" s="123" t="s">
        <v>128</v>
      </c>
      <c r="B39" s="129" t="s">
        <v>139</v>
      </c>
      <c r="C39" s="123">
        <f>ROUND(C40*1.1, 0)</f>
        <v>9</v>
      </c>
      <c r="D39" s="123">
        <f t="shared" ref="D39:F39" si="33">ROUND(D40*1.1, 0)</f>
        <v>9</v>
      </c>
      <c r="E39" s="123">
        <f t="shared" si="33"/>
        <v>7</v>
      </c>
      <c r="F39" s="123">
        <f t="shared" si="33"/>
        <v>2</v>
      </c>
      <c r="G39" s="125">
        <f>SUM(YPU_Ranges[[#This Row],[Q1]:[Q4]])</f>
        <v>27</v>
      </c>
      <c r="H39" s="122"/>
      <c r="I39" s="123" t="s">
        <v>128</v>
      </c>
      <c r="J39" s="124" t="s">
        <v>139</v>
      </c>
      <c r="K39" s="123">
        <f>ROUND(K40*1.1, 0)</f>
        <v>9</v>
      </c>
      <c r="L39" s="123">
        <f t="shared" ref="L39:N39" si="34">ROUND(L40*1.1, 0)</f>
        <v>9</v>
      </c>
      <c r="M39" s="123">
        <f t="shared" si="34"/>
        <v>7</v>
      </c>
      <c r="N39" s="123">
        <f t="shared" si="34"/>
        <v>2</v>
      </c>
      <c r="O39" s="126">
        <f>SUM(YPS_Ranges[[#This Row],[Q1]:[Q4]])</f>
        <v>27</v>
      </c>
      <c r="P39" s="122"/>
      <c r="Q39" s="122"/>
      <c r="R39" s="122"/>
      <c r="S39" s="122"/>
      <c r="T39" s="122"/>
      <c r="U39" s="122"/>
      <c r="V39" s="122"/>
      <c r="W39" s="122"/>
    </row>
    <row r="40" spans="1:23" ht="15.75" x14ac:dyDescent="0.2">
      <c r="A40" s="129" t="s">
        <v>131</v>
      </c>
      <c r="B40" s="129" t="s">
        <v>139</v>
      </c>
      <c r="C40" s="130">
        <f>ROUND(YPU_Ranges[[#This Row],[Annual]]*0.333,0)</f>
        <v>8</v>
      </c>
      <c r="D40" s="130">
        <f>ROUND(YPU_Ranges[[#This Row],[Annual]]*0.333,0)</f>
        <v>8</v>
      </c>
      <c r="E40" s="130">
        <f>ROUND((YPU_Ranges[[#This Row],[Annual]])*(0.75*0.334),0)</f>
        <v>6</v>
      </c>
      <c r="F40" s="130">
        <f>IF(ROUND(YPU_Ranges[[#This Row],[Annual]]*(0.25*0.334),0)+SUM(YPU_Ranges[[#This Row],[Q1]]:YPU_Ranges[[#This Row],[Q3]])&lt;&gt;YPU_Ranges[[#This Row],[Annual]], YPU_Ranges[[#This Row],[Annual]]-(SUM(YPU_Ranges[[#This Row],[Q1]]:YPU_Ranges[[#This Row],[Q3]])), ROUND(YPU_Ranges[[#This Row],[Annual]]*(0.25*0.334),0))</f>
        <v>2</v>
      </c>
      <c r="G40" s="131" cm="1">
        <f t="array" ref="G40">ROUND(_xlfn.XLOOKUP(1, (Calculations_Edu[Prog Type]="YPU") * (Calculations_Edu[Curriculum]=YPU_Ranges[[#This Row],[Curriculum]]), Calculations_Edu[Annual Youth/FTE],0)*Edu_POE, 0)</f>
        <v>24</v>
      </c>
      <c r="H40" s="122"/>
      <c r="I40" s="129" t="s">
        <v>131</v>
      </c>
      <c r="J40" s="129" t="s">
        <v>139</v>
      </c>
      <c r="K40" s="128">
        <f>ROUND(YPS_Ranges[[#This Row],[Annual]]*0.333, 0)</f>
        <v>8</v>
      </c>
      <c r="L40" s="128">
        <f>ROUND(YPS_Ranges[[#This Row],[Annual]]*0.333, 0)</f>
        <v>8</v>
      </c>
      <c r="M40" s="128">
        <f>ROUND((YPS_Ranges[[#This Row],[Annual]])*(0.75*0.334), 0)</f>
        <v>6</v>
      </c>
      <c r="N40" s="130">
        <f>IF(ROUND(YPS_Ranges[[#This Row],[Annual]]*(0.25*0.334),0)+SUM(YPS_Ranges[[#This Row],[Q1]]:YPS_Ranges[[#This Row],[Q3]])&lt;&gt;YPS_Ranges[[#This Row],[Annual]], YPS_Ranges[[#This Row],[Annual]]-(SUM(YPS_Ranges[[#This Row],[Q1]]:YPS_Ranges[[#This Row],[Q3]])), ROUND(YPS_Ranges[[#This Row],[Annual]]*(0.25*0.334),0))</f>
        <v>2</v>
      </c>
      <c r="O40" s="137" cm="1">
        <f t="array" ref="O40">ROUND(_xlfn.XLOOKUP(1, (Calculations_Edu[Prog Type]="YPS") * (Calculations_Edu[Curriculum]=YPS_Ranges[[#This Row],[Curriculum]]), Calculations_Edu[Annual Youth/FTE],0)*Edu_POE, 0)</f>
        <v>24</v>
      </c>
      <c r="P40" s="122"/>
      <c r="Q40" s="122"/>
      <c r="R40" s="122"/>
      <c r="S40" s="122"/>
      <c r="T40" s="122"/>
      <c r="U40" s="122"/>
      <c r="V40" s="122"/>
      <c r="W40" s="122"/>
    </row>
    <row r="41" spans="1:23" ht="15.75" x14ac:dyDescent="0.2">
      <c r="A41" s="123" t="s">
        <v>133</v>
      </c>
      <c r="B41" s="129" t="s">
        <v>139</v>
      </c>
      <c r="C41" s="123">
        <f>ROUND(C40*0.9, 0)</f>
        <v>7</v>
      </c>
      <c r="D41" s="123">
        <f t="shared" ref="D41:F41" si="35">ROUND(D40*0.9, 0)</f>
        <v>7</v>
      </c>
      <c r="E41" s="123">
        <f t="shared" si="35"/>
        <v>5</v>
      </c>
      <c r="F41" s="123">
        <f t="shared" si="35"/>
        <v>2</v>
      </c>
      <c r="G41" s="125">
        <f>SUM(YPU_Ranges[[#This Row],[Q1]:[Q4]])</f>
        <v>21</v>
      </c>
      <c r="H41" s="122"/>
      <c r="I41" s="123" t="s">
        <v>133</v>
      </c>
      <c r="J41" s="124" t="s">
        <v>139</v>
      </c>
      <c r="K41" s="123">
        <f>ROUND(K40*0.9, 0)</f>
        <v>7</v>
      </c>
      <c r="L41" s="123">
        <f t="shared" ref="L41:N41" si="36">ROUND(L40*0.9, 0)</f>
        <v>7</v>
      </c>
      <c r="M41" s="123">
        <f t="shared" si="36"/>
        <v>5</v>
      </c>
      <c r="N41" s="123">
        <f t="shared" si="36"/>
        <v>2</v>
      </c>
      <c r="O41" s="126">
        <f>SUM(YPS_Ranges[[#This Row],[Q1]:[Q4]])</f>
        <v>21</v>
      </c>
      <c r="P41" s="122"/>
      <c r="Q41" s="122"/>
      <c r="R41" s="122"/>
      <c r="S41" s="122"/>
      <c r="T41" s="122"/>
      <c r="U41" s="122"/>
      <c r="V41" s="122"/>
      <c r="W41" s="122"/>
    </row>
    <row r="42" spans="1:23" ht="15.75" x14ac:dyDescent="0.2">
      <c r="A42" s="123"/>
      <c r="B42" s="124"/>
      <c r="C42" s="123"/>
      <c r="D42" s="123"/>
      <c r="E42" s="123"/>
      <c r="F42" s="123"/>
      <c r="G42" s="123"/>
      <c r="H42" s="122"/>
      <c r="I42" s="123"/>
      <c r="J42" s="124"/>
      <c r="K42" s="123"/>
      <c r="L42" s="123"/>
      <c r="M42" s="123"/>
      <c r="N42" s="123"/>
      <c r="O42" s="123"/>
      <c r="P42" s="122"/>
      <c r="Q42" s="122"/>
      <c r="R42" s="122"/>
      <c r="S42" s="122"/>
      <c r="T42" s="122"/>
      <c r="U42" s="122"/>
      <c r="V42" s="122"/>
      <c r="W42" s="122"/>
    </row>
    <row r="43" spans="1:23" ht="15.75" x14ac:dyDescent="0.2">
      <c r="A43" s="138" t="s">
        <v>126</v>
      </c>
      <c r="B43" s="124" t="s">
        <v>139</v>
      </c>
      <c r="C43" s="123">
        <f>ROUND(C44*1.1, 0)</f>
        <v>7</v>
      </c>
      <c r="D43" s="123">
        <f t="shared" ref="D43:F43" si="37">ROUND(D44*1.1, 0)</f>
        <v>7</v>
      </c>
      <c r="E43" s="123">
        <f t="shared" si="37"/>
        <v>6</v>
      </c>
      <c r="F43" s="141">
        <f t="shared" si="37"/>
        <v>1</v>
      </c>
      <c r="G43" s="125">
        <f>SUM(YPU_Ranges[[#This Row],[Q1]:[Q4]])</f>
        <v>21</v>
      </c>
      <c r="H43" s="122"/>
      <c r="I43" s="138" t="s">
        <v>126</v>
      </c>
      <c r="J43" s="129" t="s">
        <v>139</v>
      </c>
      <c r="K43" s="123">
        <f>ROUND(K44*1.1, 0)</f>
        <v>7</v>
      </c>
      <c r="L43" s="123">
        <f t="shared" ref="L43:N43" si="38">ROUND(L44*1.1, 0)</f>
        <v>7</v>
      </c>
      <c r="M43" s="123">
        <f t="shared" si="38"/>
        <v>6</v>
      </c>
      <c r="N43" s="123">
        <f t="shared" si="38"/>
        <v>1</v>
      </c>
      <c r="O43" s="126">
        <f>SUM(YPS_Ranges[[#This Row],[Q1]:[Q4]])</f>
        <v>21</v>
      </c>
      <c r="P43" s="122"/>
      <c r="Q43" s="122"/>
      <c r="R43" s="122"/>
      <c r="S43" s="122"/>
      <c r="T43" s="122"/>
      <c r="U43" s="122"/>
      <c r="V43" s="122"/>
      <c r="W43" s="122"/>
    </row>
    <row r="44" spans="1:23" ht="15.75" x14ac:dyDescent="0.2">
      <c r="A44" s="129" t="s">
        <v>130</v>
      </c>
      <c r="B44" s="129" t="s">
        <v>139</v>
      </c>
      <c r="C44" s="130">
        <f>ROUND(YPU_Ranges[[#This Row],[Annual]]*0.333,0)</f>
        <v>6</v>
      </c>
      <c r="D44" s="130">
        <f>ROUND(YPU_Ranges[[#This Row],[Annual]]*0.333,0)</f>
        <v>6</v>
      </c>
      <c r="E44" s="130">
        <f>ROUND((YPU_Ranges[[#This Row],[Annual]])*(0.75*0.334),0)</f>
        <v>5</v>
      </c>
      <c r="F44" s="130">
        <f>IF(ROUND(YPU_Ranges[[#This Row],[Annual]]*(0.25*0.334),0)+SUM(YPU_Ranges[[#This Row],[Q1]]:YPU_Ranges[[#This Row],[Q3]])&lt;&gt;YPU_Ranges[[#This Row],[Annual]], YPU_Ranges[[#This Row],[Annual]]-(SUM(YPU_Ranges[[#This Row],[Q1]]:YPU_Ranges[[#This Row],[Q3]])), ROUND(YPU_Ranges[[#This Row],[Annual]]*(0.25*0.334),0))</f>
        <v>1</v>
      </c>
      <c r="G44" s="131" cm="1">
        <f t="array" ref="G44">ROUND(_xlfn.XLOOKUP(1, (Calculations_Edu[Prog Type]="YPU") * (Calculations_Edu[Curriculum]=YPU_Ranges[[#This Row],[Curriculum]]), Calculations_Edu[Annual Adults/FTE],0)*Edu_POE,0)</f>
        <v>18</v>
      </c>
      <c r="H44" s="122"/>
      <c r="I44" s="129" t="s">
        <v>130</v>
      </c>
      <c r="J44" s="129" t="s">
        <v>139</v>
      </c>
      <c r="K44" s="128">
        <f>ROUND(YPS_Ranges[[#This Row],[Annual]]*0.333, 0)</f>
        <v>6</v>
      </c>
      <c r="L44" s="128">
        <f>ROUND(YPS_Ranges[[#This Row],[Annual]]*0.333, 0)</f>
        <v>6</v>
      </c>
      <c r="M44" s="128">
        <f>ROUND((YPS_Ranges[[#This Row],[Annual]])*(0.75*0.334), 0)</f>
        <v>5</v>
      </c>
      <c r="N44" s="130">
        <f>IF(ROUND(YPS_Ranges[[#This Row],[Annual]]*(0.25*0.334),0)+SUM(YPS_Ranges[[#This Row],[Q1]]:YPS_Ranges[[#This Row],[Q3]])&lt;&gt;YPS_Ranges[[#This Row],[Annual]], YPS_Ranges[[#This Row],[Annual]]-(SUM(YPS_Ranges[[#This Row],[Q1]]:YPS_Ranges[[#This Row],[Q3]])), ROUND(YPS_Ranges[[#This Row],[Annual]]*(0.25*0.334),0))</f>
        <v>1</v>
      </c>
      <c r="O44" s="137" cm="1">
        <f t="array" ref="O44">ROUND(_xlfn.XLOOKUP(1, (Calculations_Edu[Prog Type]="YPS") * (Calculations_Edu[Curriculum]=YPS_Ranges[[#This Row],[Curriculum]]), Calculations_Edu[Annual Adults/FTE],0)*Edu_POE, 0)</f>
        <v>18</v>
      </c>
      <c r="P44" s="122"/>
      <c r="Q44" s="122"/>
      <c r="R44" s="122"/>
      <c r="S44" s="122"/>
      <c r="T44" s="122"/>
      <c r="U44" s="122"/>
      <c r="V44" s="122"/>
      <c r="W44" s="122"/>
    </row>
    <row r="45" spans="1:23" ht="15.75" x14ac:dyDescent="0.2">
      <c r="A45" s="138" t="s">
        <v>132</v>
      </c>
      <c r="B45" s="124" t="s">
        <v>139</v>
      </c>
      <c r="C45" s="123">
        <f>ROUND(C44*0.9, 0)</f>
        <v>5</v>
      </c>
      <c r="D45" s="123">
        <f t="shared" ref="D45:F45" si="39">ROUND(D44*0.9, 0)</f>
        <v>5</v>
      </c>
      <c r="E45" s="123">
        <f t="shared" si="39"/>
        <v>5</v>
      </c>
      <c r="F45" s="123">
        <f t="shared" si="39"/>
        <v>1</v>
      </c>
      <c r="G45" s="125">
        <f>SUM(YPU_Ranges[[#This Row],[Q1]:[Q4]])</f>
        <v>16</v>
      </c>
      <c r="H45" s="122"/>
      <c r="I45" s="138" t="s">
        <v>132</v>
      </c>
      <c r="J45" s="129" t="s">
        <v>139</v>
      </c>
      <c r="K45" s="123">
        <f>ROUND(K44*0.9, 0)</f>
        <v>5</v>
      </c>
      <c r="L45" s="123">
        <f t="shared" ref="L45:N45" si="40">ROUND(L44*0.9, 0)</f>
        <v>5</v>
      </c>
      <c r="M45" s="123">
        <f t="shared" si="40"/>
        <v>5</v>
      </c>
      <c r="N45" s="123">
        <f t="shared" si="40"/>
        <v>1</v>
      </c>
      <c r="O45" s="126">
        <f>SUM(YPS_Ranges[[#This Row],[Q1]:[Q4]])</f>
        <v>16</v>
      </c>
      <c r="P45" s="122"/>
      <c r="Q45" s="122"/>
      <c r="R45" s="122"/>
      <c r="S45" s="122"/>
      <c r="T45" s="122"/>
      <c r="U45" s="122"/>
      <c r="V45" s="122"/>
      <c r="W45" s="122"/>
    </row>
    <row r="46" spans="1:23" ht="15.75" x14ac:dyDescent="0.2">
      <c r="A46" s="139"/>
      <c r="B46" s="140"/>
      <c r="C46" s="139"/>
      <c r="D46" s="139"/>
      <c r="E46" s="139"/>
      <c r="F46" s="139"/>
      <c r="G46" s="139"/>
      <c r="H46" s="122"/>
      <c r="I46" s="138"/>
      <c r="J46" s="129"/>
      <c r="K46" s="138"/>
      <c r="L46" s="138"/>
      <c r="M46" s="138"/>
      <c r="N46" s="138"/>
      <c r="O46" s="138"/>
      <c r="P46" s="122"/>
      <c r="Q46" s="122"/>
      <c r="R46" s="122"/>
      <c r="S46" s="122"/>
      <c r="T46" s="122"/>
      <c r="U46" s="122"/>
      <c r="V46" s="122"/>
      <c r="W46" s="122"/>
    </row>
    <row r="47" spans="1:23" x14ac:dyDescent="0.2">
      <c r="A47" s="122"/>
      <c r="B47" s="122"/>
      <c r="C47" s="122"/>
      <c r="D47" s="122"/>
      <c r="E47" s="122"/>
      <c r="F47" s="122"/>
      <c r="G47" s="122"/>
      <c r="H47" s="122"/>
      <c r="I47" s="122"/>
      <c r="J47" s="122"/>
      <c r="K47" s="122"/>
      <c r="L47" s="122"/>
      <c r="M47" s="122"/>
      <c r="N47" s="122"/>
      <c r="O47" s="122"/>
      <c r="P47" s="122"/>
      <c r="Q47" s="122"/>
      <c r="R47" s="122"/>
      <c r="S47" s="122"/>
      <c r="T47" s="122"/>
      <c r="U47" s="122"/>
      <c r="V47" s="122"/>
      <c r="W47" s="122"/>
    </row>
    <row r="48" spans="1:23" hidden="1" x14ac:dyDescent="0.2">
      <c r="A48" s="122" t="s">
        <v>140</v>
      </c>
      <c r="B48" s="122"/>
      <c r="C48" s="122"/>
      <c r="D48" s="122"/>
      <c r="E48" s="122"/>
      <c r="F48" s="122"/>
      <c r="G48" s="122"/>
      <c r="H48" s="122"/>
      <c r="I48" s="122" t="s">
        <v>141</v>
      </c>
      <c r="J48" s="122"/>
      <c r="K48" s="122"/>
      <c r="L48" s="122"/>
      <c r="M48" s="122"/>
      <c r="N48" s="122"/>
      <c r="O48" s="122"/>
      <c r="P48" s="122"/>
      <c r="Q48" s="122" t="s">
        <v>142</v>
      </c>
      <c r="R48" s="122"/>
      <c r="S48" s="122"/>
      <c r="T48" s="122"/>
      <c r="U48" s="122"/>
      <c r="V48" s="122"/>
      <c r="W48" s="122"/>
    </row>
    <row r="49" spans="1:23" ht="30" hidden="1" x14ac:dyDescent="0.2">
      <c r="A49" s="122" t="str" cm="1">
        <f t="array" ref="A49:A54">_xlfn.UNIQUE(_xlfn._xlws.FILTER(B15:B45,B15:B45&lt;&gt;""))</f>
        <v>Guiding Good Choices</v>
      </c>
      <c r="B49" s="122"/>
      <c r="C49" s="122"/>
      <c r="D49" s="122"/>
      <c r="E49" s="122"/>
      <c r="F49" s="122"/>
      <c r="G49" s="122"/>
      <c r="H49" s="122"/>
      <c r="I49" s="122" t="str" cm="1">
        <f t="array" ref="I49:I54">_xlfn.UNIQUE(_xlfn._xlws.FILTER(J15:J45,J15:J45&lt;&gt;""))</f>
        <v>Blues Program</v>
      </c>
      <c r="J49" s="122"/>
      <c r="K49" s="122"/>
      <c r="L49" s="122"/>
      <c r="M49" s="122"/>
      <c r="N49" s="122"/>
      <c r="O49" s="122"/>
      <c r="P49" s="122"/>
      <c r="Q49" s="122" t="str" cm="1">
        <f t="array" ref="Q49:Q52">_xlfn.UNIQUE(_xlfn._xlws.FILTER(R15:R37,R15:R37&lt;&gt;""))</f>
        <v>Blues Program</v>
      </c>
      <c r="R49" s="122"/>
      <c r="S49" s="122"/>
      <c r="T49" s="122"/>
      <c r="U49" s="122"/>
      <c r="V49" s="122"/>
      <c r="W49" s="122"/>
    </row>
    <row r="50" spans="1:23" ht="45" hidden="1" x14ac:dyDescent="0.2">
      <c r="A50" s="122" t="str">
        <v>Learning to BREATHE</v>
      </c>
      <c r="B50" s="122"/>
      <c r="C50" s="122"/>
      <c r="D50" s="122"/>
      <c r="E50" s="122"/>
      <c r="F50" s="122"/>
      <c r="G50" s="122"/>
      <c r="H50" s="122"/>
      <c r="I50" s="122" t="str">
        <v>Curriculum-Based Support Group</v>
      </c>
      <c r="J50" s="122"/>
      <c r="K50" s="122"/>
      <c r="L50" s="122"/>
      <c r="M50" s="122"/>
      <c r="N50" s="122"/>
      <c r="O50" s="122"/>
      <c r="P50" s="122"/>
      <c r="Q50" s="122" t="str">
        <v>Curriculum-Based Support Group</v>
      </c>
      <c r="R50" s="122"/>
      <c r="S50" s="122"/>
      <c r="T50" s="122"/>
      <c r="U50" s="122"/>
      <c r="V50" s="122"/>
      <c r="W50" s="122"/>
    </row>
    <row r="51" spans="1:23" ht="30" hidden="1" x14ac:dyDescent="0.2">
      <c r="A51" s="118" t="str">
        <v>LifeSkills Training</v>
      </c>
      <c r="B51" s="122"/>
      <c r="C51" s="122"/>
      <c r="D51" s="122"/>
      <c r="E51" s="122"/>
      <c r="F51" s="122"/>
      <c r="G51" s="122"/>
      <c r="H51" s="122"/>
      <c r="I51" s="122" t="str">
        <v>Learning to BREATHE</v>
      </c>
      <c r="J51" s="122"/>
      <c r="K51" s="122"/>
      <c r="L51" s="122"/>
      <c r="M51" s="122"/>
      <c r="N51" s="122"/>
      <c r="O51" s="122"/>
      <c r="P51" s="122"/>
      <c r="Q51" s="122" t="str">
        <v>SFP 10 Video</v>
      </c>
      <c r="R51" s="122"/>
      <c r="S51" s="122"/>
      <c r="T51" s="122"/>
      <c r="U51" s="122"/>
      <c r="V51" s="122"/>
      <c r="W51" s="122"/>
    </row>
    <row r="52" spans="1:23" ht="14.65" hidden="1" customHeight="1" x14ac:dyDescent="0.2">
      <c r="A52" s="118" t="str">
        <v>Positive Action</v>
      </c>
      <c r="B52" s="122"/>
      <c r="C52" s="122"/>
      <c r="D52" s="122"/>
      <c r="E52" s="122"/>
      <c r="F52" s="122"/>
      <c r="G52" s="122"/>
      <c r="H52" s="122"/>
      <c r="I52" s="122" t="str">
        <v>Positive Action</v>
      </c>
      <c r="J52" s="122"/>
      <c r="K52" s="122"/>
      <c r="L52" s="122"/>
      <c r="M52" s="122"/>
      <c r="N52" s="122"/>
      <c r="O52" s="122"/>
      <c r="P52" s="122"/>
      <c r="Q52" s="122" t="str">
        <v>SFP 14 Session</v>
      </c>
      <c r="R52" s="122"/>
      <c r="S52" s="122"/>
      <c r="T52" s="122"/>
      <c r="U52" s="122"/>
      <c r="V52" s="122"/>
      <c r="W52" s="122"/>
    </row>
    <row r="53" spans="1:23" hidden="1" x14ac:dyDescent="0.2">
      <c r="A53" s="122" t="str">
        <v>SFP 10 Video</v>
      </c>
      <c r="B53" s="122"/>
      <c r="C53" s="122"/>
      <c r="D53" s="122"/>
      <c r="E53" s="122"/>
      <c r="F53" s="122"/>
      <c r="G53" s="122"/>
      <c r="H53" s="122"/>
      <c r="I53" s="122" t="str">
        <v>SFP 10 Video</v>
      </c>
      <c r="J53" s="122"/>
      <c r="K53" s="122"/>
      <c r="L53" s="122"/>
      <c r="M53" s="122"/>
      <c r="N53" s="122"/>
      <c r="O53" s="122"/>
      <c r="P53" s="122"/>
      <c r="Q53" s="122"/>
      <c r="R53" s="122"/>
      <c r="S53" s="122"/>
      <c r="T53" s="122"/>
      <c r="U53" s="122"/>
      <c r="V53" s="122"/>
      <c r="W53" s="122"/>
    </row>
    <row r="54" spans="1:23" hidden="1" x14ac:dyDescent="0.2">
      <c r="A54" s="122" t="str">
        <v>SFP 14 Session</v>
      </c>
      <c r="B54" s="122"/>
      <c r="C54" s="122"/>
      <c r="D54" s="122"/>
      <c r="E54" s="122"/>
      <c r="F54" s="122"/>
      <c r="G54" s="122"/>
      <c r="H54" s="122"/>
      <c r="I54" s="122" t="str">
        <v>SFP 14 Session</v>
      </c>
      <c r="J54" s="122"/>
      <c r="K54" s="122"/>
      <c r="L54" s="122"/>
      <c r="M54" s="122"/>
      <c r="N54" s="122"/>
      <c r="O54" s="122"/>
      <c r="P54" s="122"/>
      <c r="Q54" s="122"/>
      <c r="R54" s="122"/>
      <c r="S54" s="122"/>
      <c r="T54" s="122"/>
      <c r="U54" s="122"/>
      <c r="V54" s="122"/>
      <c r="W54" s="122"/>
    </row>
    <row r="55" spans="1:23" hidden="1" x14ac:dyDescent="0.2">
      <c r="A55" s="122" t="s">
        <v>143</v>
      </c>
      <c r="B55" s="122"/>
      <c r="C55" s="122"/>
      <c r="D55" s="122"/>
      <c r="E55" s="122"/>
      <c r="F55" s="122"/>
      <c r="G55" s="122"/>
      <c r="H55" s="122"/>
      <c r="I55" s="122" t="s">
        <v>143</v>
      </c>
      <c r="J55" s="122"/>
      <c r="K55" s="122"/>
      <c r="L55" s="122"/>
      <c r="M55" s="122"/>
      <c r="N55" s="122"/>
      <c r="O55" s="122"/>
      <c r="P55" s="122"/>
      <c r="Q55" s="122"/>
      <c r="R55" s="122"/>
      <c r="S55" s="122"/>
      <c r="T55" s="122"/>
      <c r="U55" s="122"/>
      <c r="V55" s="122"/>
      <c r="W55" s="122"/>
    </row>
    <row r="56" spans="1:23" x14ac:dyDescent="0.2">
      <c r="A56" s="122"/>
      <c r="B56" s="122"/>
      <c r="C56" s="122"/>
      <c r="D56" s="122"/>
      <c r="E56" s="122"/>
      <c r="F56" s="122"/>
      <c r="G56" s="122"/>
      <c r="H56" s="122"/>
      <c r="I56" s="122"/>
      <c r="J56" s="122"/>
      <c r="K56" s="122"/>
      <c r="L56" s="122"/>
      <c r="M56" s="122"/>
      <c r="N56" s="122"/>
      <c r="O56" s="122"/>
      <c r="P56" s="122"/>
      <c r="Q56" s="122"/>
      <c r="R56" s="122"/>
      <c r="S56" s="122"/>
      <c r="T56" s="122"/>
      <c r="U56" s="122"/>
      <c r="V56" s="122"/>
      <c r="W56" s="122"/>
    </row>
  </sheetData>
  <sheetProtection algorithmName="SHA-512" hashValue="ToKkjD1glAYK7aksA2wwgFL2YEIqVgN74i8M3aum0u2r7NtDeAguQbilFUPn6xba1QwPHEPBdA+b4tMm5zallw==" saltValue="i7ZRGeZdpeW1DqUhKyDxRA==" spinCount="100000" sheet="1" objects="1" scenarios="1"/>
  <mergeCells count="13">
    <mergeCell ref="A11:W11"/>
    <mergeCell ref="A13:G13"/>
    <mergeCell ref="I13:O13"/>
    <mergeCell ref="Q13:W13"/>
    <mergeCell ref="D2:D5"/>
    <mergeCell ref="G2:G5"/>
    <mergeCell ref="E2:E5"/>
    <mergeCell ref="B2:B5"/>
    <mergeCell ref="C2:C5"/>
    <mergeCell ref="A1:A5"/>
    <mergeCell ref="A12:W12"/>
    <mergeCell ref="F2:F5"/>
    <mergeCell ref="A6:G9"/>
  </mergeCells>
  <conditionalFormatting sqref="G2:G5">
    <cfRule type="cellIs" dxfId="111" priority="2" operator="notEqual">
      <formula>100%</formula>
    </cfRule>
  </conditionalFormatting>
  <conditionalFormatting sqref="G2:G5">
    <cfRule type="cellIs" dxfId="110" priority="1" operator="notEqual">
      <formula>100%</formula>
    </cfRule>
  </conditionalFormatting>
  <dataValidations count="4">
    <dataValidation type="list" allowBlank="1" showInputMessage="1" showErrorMessage="1" sqref="B2:B5" xr:uid="{4FB55DC2-726E-43C4-A759-52D7194B1DA3}">
      <formula1>"50%, 55%, 60%, 65%, 70%"</formula1>
    </dataValidation>
    <dataValidation type="list" allowBlank="1" showInputMessage="1" showErrorMessage="1" sqref="D2:D5" xr:uid="{134A6C91-5FC1-4927-8786-B8147D75DAA8}">
      <formula1>"5%, 8%, 10%"</formula1>
    </dataValidation>
    <dataValidation type="list" allowBlank="1" showInputMessage="1" showErrorMessage="1" sqref="E2:E5" xr:uid="{9937724D-BA7F-46AA-B0D4-0160199633BF}">
      <formula1>"2%, 5%"</formula1>
    </dataValidation>
    <dataValidation type="list" allowBlank="1" showInputMessage="1" showErrorMessage="1" sqref="C2:C5" xr:uid="{FB643DFC-D695-43CB-B3FB-367DD347925A}">
      <formula1>"15%, 20%, 25%, 30%"</formula1>
    </dataValidation>
  </dataValidations>
  <pageMargins left="0.7" right="0.7" top="0.75" bottom="0.75" header="0.3" footer="0.3"/>
  <pageSetup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A89FE-C2CB-445C-8BD7-8034CBB58A54}">
  <dimension ref="A1:W46"/>
  <sheetViews>
    <sheetView topLeftCell="A10" zoomScale="70" zoomScaleNormal="70" workbookViewId="0">
      <selection activeCell="H38" sqref="H38"/>
    </sheetView>
  </sheetViews>
  <sheetFormatPr defaultColWidth="9.19921875" defaultRowHeight="15" x14ac:dyDescent="0.2"/>
  <cols>
    <col min="1" max="1" width="9.5" style="5" customWidth="1"/>
    <col min="2" max="2" width="12.8984375" style="5" customWidth="1"/>
    <col min="3" max="7" width="9.5" style="5" customWidth="1"/>
    <col min="8" max="8" width="9.19921875" style="5"/>
    <col min="9" max="9" width="9.5" style="5" customWidth="1"/>
    <col min="10" max="10" width="11.69921875" style="5" customWidth="1"/>
    <col min="11" max="15" width="9.5" style="5" customWidth="1"/>
    <col min="16" max="16" width="9.19921875" style="5"/>
    <col min="17" max="17" width="9.5" style="5" customWidth="1"/>
    <col min="18" max="18" width="10.796875" style="5" customWidth="1"/>
    <col min="19" max="23" width="9.5" style="5" customWidth="1"/>
    <col min="24" max="16384" width="9.19921875" style="5"/>
  </cols>
  <sheetData>
    <row r="1" spans="1:23" ht="24" customHeight="1" x14ac:dyDescent="0.2">
      <c r="A1" s="286" t="s">
        <v>144</v>
      </c>
      <c r="B1" s="286"/>
      <c r="C1" s="286"/>
      <c r="D1" s="286"/>
      <c r="E1" s="286"/>
      <c r="F1" s="286"/>
      <c r="G1" s="286"/>
      <c r="H1" s="286"/>
      <c r="I1" s="286"/>
      <c r="J1" s="286"/>
      <c r="K1" s="286"/>
      <c r="L1" s="286"/>
      <c r="M1" s="286"/>
      <c r="N1" s="286"/>
      <c r="O1" s="286"/>
      <c r="P1" s="286"/>
      <c r="Q1" s="286"/>
      <c r="R1" s="286"/>
      <c r="S1" s="286"/>
      <c r="T1" s="286"/>
      <c r="U1" s="286"/>
      <c r="V1" s="286"/>
      <c r="W1" s="286"/>
    </row>
    <row r="2" spans="1:23" ht="24" customHeight="1" x14ac:dyDescent="0.2">
      <c r="A2" s="283" t="s">
        <v>116</v>
      </c>
      <c r="B2" s="283"/>
      <c r="C2" s="283"/>
      <c r="D2" s="283"/>
      <c r="E2" s="283"/>
      <c r="F2" s="283"/>
      <c r="G2" s="283"/>
      <c r="H2" s="4"/>
      <c r="I2" s="284" t="s">
        <v>117</v>
      </c>
      <c r="J2" s="284"/>
      <c r="K2" s="284"/>
      <c r="L2" s="284"/>
      <c r="M2" s="284"/>
      <c r="N2" s="284"/>
      <c r="O2" s="284"/>
      <c r="Q2" s="285" t="s">
        <v>118</v>
      </c>
      <c r="R2" s="285"/>
      <c r="S2" s="285"/>
      <c r="T2" s="285"/>
      <c r="U2" s="285"/>
      <c r="V2" s="285"/>
      <c r="W2" s="285"/>
    </row>
    <row r="3" spans="1:23" ht="30" x14ac:dyDescent="0.2">
      <c r="A3" s="5" t="s">
        <v>119</v>
      </c>
      <c r="B3" s="5" t="s">
        <v>120</v>
      </c>
      <c r="C3" s="5" t="s">
        <v>121</v>
      </c>
      <c r="D3" s="5" t="s">
        <v>122</v>
      </c>
      <c r="E3" s="5" t="s">
        <v>123</v>
      </c>
      <c r="F3" s="5" t="s">
        <v>124</v>
      </c>
      <c r="G3" s="5" t="s">
        <v>125</v>
      </c>
      <c r="I3" s="5" t="s">
        <v>119</v>
      </c>
      <c r="J3" s="5" t="s">
        <v>120</v>
      </c>
      <c r="K3" s="5" t="s">
        <v>121</v>
      </c>
      <c r="L3" s="5" t="s">
        <v>122</v>
      </c>
      <c r="M3" s="5" t="s">
        <v>123</v>
      </c>
      <c r="N3" s="5" t="s">
        <v>124</v>
      </c>
      <c r="O3" s="5" t="s">
        <v>125</v>
      </c>
      <c r="Q3" s="5" t="s">
        <v>119</v>
      </c>
      <c r="R3" s="5" t="s">
        <v>120</v>
      </c>
      <c r="S3" s="5" t="s">
        <v>121</v>
      </c>
      <c r="T3" s="5" t="s">
        <v>122</v>
      </c>
      <c r="U3" s="5" t="s">
        <v>123</v>
      </c>
      <c r="V3" s="5" t="s">
        <v>124</v>
      </c>
      <c r="W3" s="5" t="s">
        <v>125</v>
      </c>
    </row>
    <row r="4" spans="1:23" ht="60" x14ac:dyDescent="0.2">
      <c r="A4" s="7" t="s">
        <v>128</v>
      </c>
      <c r="B4" s="8" t="s">
        <v>145</v>
      </c>
      <c r="C4" s="7">
        <f t="shared" ref="C4:C46" si="0">MROUND(G4*0.33,5)</f>
        <v>320</v>
      </c>
      <c r="D4" s="7">
        <f t="shared" ref="D4:D46" si="1">MROUND(G4*0.33,5)</f>
        <v>320</v>
      </c>
      <c r="E4" s="7">
        <v>164</v>
      </c>
      <c r="F4" s="7">
        <v>164</v>
      </c>
      <c r="G4" s="9">
        <f>G5*1.1</f>
        <v>968.00000000000011</v>
      </c>
      <c r="I4" s="7" t="s">
        <v>128</v>
      </c>
      <c r="J4" s="8" t="s">
        <v>135</v>
      </c>
      <c r="K4" s="7">
        <f t="shared" ref="K4:K22" si="2">MROUND(O4*0.33,5)</f>
        <v>105</v>
      </c>
      <c r="L4" s="7">
        <f>MROUND(O4*0.33,5)</f>
        <v>105</v>
      </c>
      <c r="M4" s="7">
        <v>53</v>
      </c>
      <c r="N4" s="7">
        <v>53</v>
      </c>
      <c r="O4" s="15">
        <v>317</v>
      </c>
      <c r="Q4" s="7" t="s">
        <v>128</v>
      </c>
      <c r="R4" s="8" t="s">
        <v>135</v>
      </c>
      <c r="S4" s="7">
        <f t="shared" ref="S4:S14" si="3">MROUND(W4*0.33,5)</f>
        <v>105</v>
      </c>
      <c r="T4" s="7">
        <f t="shared" ref="T4:T14" si="4">MROUND(W4*0.33,5)</f>
        <v>105</v>
      </c>
      <c r="U4" s="7">
        <v>54</v>
      </c>
      <c r="V4" s="7">
        <v>53</v>
      </c>
      <c r="W4" s="6">
        <v>317</v>
      </c>
    </row>
    <row r="5" spans="1:23" ht="60" x14ac:dyDescent="0.2">
      <c r="A5" s="10" t="s">
        <v>131</v>
      </c>
      <c r="B5" s="11" t="s">
        <v>145</v>
      </c>
      <c r="C5" s="10">
        <f t="shared" si="0"/>
        <v>290</v>
      </c>
      <c r="D5" s="10">
        <f t="shared" si="1"/>
        <v>290</v>
      </c>
      <c r="E5" s="10">
        <f t="shared" ref="E5:E44" si="5">MROUND(G5*0.17,5)</f>
        <v>150</v>
      </c>
      <c r="F5" s="10">
        <f t="shared" ref="F5:F21" si="6">MROUND(G5*0.17,5)</f>
        <v>150</v>
      </c>
      <c r="G5" s="12">
        <v>880</v>
      </c>
      <c r="I5" s="13" t="s">
        <v>131</v>
      </c>
      <c r="J5" s="11" t="s">
        <v>135</v>
      </c>
      <c r="K5" s="13">
        <f t="shared" si="2"/>
        <v>95</v>
      </c>
      <c r="L5" s="13">
        <f t="shared" ref="L5:L22" si="7">MROUND(O5*0.33,5)</f>
        <v>95</v>
      </c>
      <c r="M5" s="13">
        <v>49</v>
      </c>
      <c r="N5" s="13">
        <v>49</v>
      </c>
      <c r="O5" s="16">
        <v>288</v>
      </c>
      <c r="Q5" s="13" t="s">
        <v>131</v>
      </c>
      <c r="R5" s="11" t="s">
        <v>135</v>
      </c>
      <c r="S5" s="13">
        <f t="shared" si="3"/>
        <v>95</v>
      </c>
      <c r="T5" s="13">
        <f t="shared" si="4"/>
        <v>95</v>
      </c>
      <c r="U5" s="13">
        <v>49</v>
      </c>
      <c r="V5" s="13">
        <v>49</v>
      </c>
      <c r="W5" s="17">
        <v>288</v>
      </c>
    </row>
    <row r="6" spans="1:23" ht="60" x14ac:dyDescent="0.2">
      <c r="A6" s="7" t="s">
        <v>133</v>
      </c>
      <c r="B6" s="8" t="s">
        <v>145</v>
      </c>
      <c r="C6" s="7">
        <f t="shared" si="0"/>
        <v>260</v>
      </c>
      <c r="D6" s="7">
        <f t="shared" si="1"/>
        <v>260</v>
      </c>
      <c r="E6" s="7">
        <v>136</v>
      </c>
      <c r="F6" s="7">
        <v>136</v>
      </c>
      <c r="G6" s="9">
        <f>G5*0.9</f>
        <v>792</v>
      </c>
      <c r="I6" s="7" t="s">
        <v>133</v>
      </c>
      <c r="J6" s="8" t="s">
        <v>135</v>
      </c>
      <c r="K6" s="7">
        <f t="shared" si="2"/>
        <v>85</v>
      </c>
      <c r="L6" s="7">
        <f t="shared" si="7"/>
        <v>85</v>
      </c>
      <c r="M6" s="7">
        <f t="shared" ref="M6:M17" si="8">MROUND(O6*0.17,5)</f>
        <v>45</v>
      </c>
      <c r="N6" s="7">
        <v>44</v>
      </c>
      <c r="O6" s="15">
        <v>259</v>
      </c>
      <c r="Q6" s="7" t="s">
        <v>133</v>
      </c>
      <c r="R6" s="8" t="s">
        <v>135</v>
      </c>
      <c r="S6" s="7">
        <f t="shared" si="3"/>
        <v>85</v>
      </c>
      <c r="T6" s="7">
        <f t="shared" si="4"/>
        <v>85</v>
      </c>
      <c r="U6" s="7">
        <f t="shared" ref="U6:U8" si="9">MROUND(W6*0.17,5)</f>
        <v>45</v>
      </c>
      <c r="V6" s="7">
        <v>44</v>
      </c>
      <c r="W6" s="6">
        <v>259</v>
      </c>
    </row>
    <row r="7" spans="1:23" ht="33.75" customHeight="1" x14ac:dyDescent="0.2">
      <c r="A7" s="14"/>
      <c r="B7" s="14"/>
      <c r="C7" s="14"/>
      <c r="D7" s="14"/>
      <c r="E7" s="14"/>
      <c r="F7" s="14"/>
      <c r="G7" s="14"/>
      <c r="I7" s="18"/>
      <c r="J7" s="19"/>
      <c r="K7" s="18"/>
      <c r="L7" s="18"/>
      <c r="M7" s="18"/>
      <c r="N7" s="18"/>
      <c r="O7" s="18"/>
      <c r="Q7" s="18"/>
      <c r="R7" s="19"/>
      <c r="S7" s="18"/>
      <c r="T7" s="18"/>
      <c r="U7" s="18"/>
      <c r="V7" s="18"/>
      <c r="W7" s="18"/>
    </row>
    <row r="8" spans="1:23" ht="60" x14ac:dyDescent="0.2">
      <c r="A8" s="7" t="s">
        <v>128</v>
      </c>
      <c r="B8" s="8" t="s">
        <v>146</v>
      </c>
      <c r="C8" s="7">
        <f t="shared" si="0"/>
        <v>135</v>
      </c>
      <c r="D8" s="7">
        <f t="shared" si="1"/>
        <v>135</v>
      </c>
      <c r="E8" s="7">
        <v>69</v>
      </c>
      <c r="F8" s="7">
        <v>68</v>
      </c>
      <c r="G8" s="9">
        <f>G9*1.1</f>
        <v>407.00000000000006</v>
      </c>
      <c r="I8" s="7" t="s">
        <v>128</v>
      </c>
      <c r="J8" s="8" t="s">
        <v>147</v>
      </c>
      <c r="K8" s="7">
        <f t="shared" si="2"/>
        <v>145</v>
      </c>
      <c r="L8" s="7">
        <f t="shared" si="7"/>
        <v>145</v>
      </c>
      <c r="M8" s="7">
        <v>73</v>
      </c>
      <c r="N8" s="7">
        <v>72</v>
      </c>
      <c r="O8" s="15">
        <v>435</v>
      </c>
      <c r="Q8" s="7" t="s">
        <v>128</v>
      </c>
      <c r="R8" s="8" t="s">
        <v>148</v>
      </c>
      <c r="S8" s="7">
        <f t="shared" si="3"/>
        <v>95</v>
      </c>
      <c r="T8" s="7">
        <f t="shared" si="4"/>
        <v>95</v>
      </c>
      <c r="U8" s="7">
        <f t="shared" si="9"/>
        <v>50</v>
      </c>
      <c r="V8" s="7">
        <f t="shared" ref="V8" si="10">MROUND(W8*0.17,5)</f>
        <v>50</v>
      </c>
      <c r="W8" s="6">
        <v>290</v>
      </c>
    </row>
    <row r="9" spans="1:23" ht="60" x14ac:dyDescent="0.2">
      <c r="A9" s="13" t="s">
        <v>131</v>
      </c>
      <c r="B9" s="11" t="s">
        <v>146</v>
      </c>
      <c r="C9" s="13">
        <f t="shared" si="0"/>
        <v>120</v>
      </c>
      <c r="D9" s="13">
        <f t="shared" si="1"/>
        <v>120</v>
      </c>
      <c r="E9" s="13">
        <f t="shared" si="5"/>
        <v>65</v>
      </c>
      <c r="F9" s="13">
        <f t="shared" si="6"/>
        <v>65</v>
      </c>
      <c r="G9" s="12">
        <v>370</v>
      </c>
      <c r="I9" s="13" t="s">
        <v>131</v>
      </c>
      <c r="J9" s="11" t="s">
        <v>147</v>
      </c>
      <c r="K9" s="13">
        <f t="shared" si="2"/>
        <v>130</v>
      </c>
      <c r="L9" s="13">
        <f t="shared" si="7"/>
        <v>130</v>
      </c>
      <c r="M9" s="13">
        <v>68</v>
      </c>
      <c r="N9" s="13">
        <v>67</v>
      </c>
      <c r="O9" s="16">
        <v>395</v>
      </c>
      <c r="Q9" s="13" t="s">
        <v>131</v>
      </c>
      <c r="R9" s="11" t="s">
        <v>148</v>
      </c>
      <c r="S9" s="13">
        <f t="shared" si="3"/>
        <v>85</v>
      </c>
      <c r="T9" s="13">
        <f t="shared" si="4"/>
        <v>85</v>
      </c>
      <c r="U9" s="13">
        <v>47</v>
      </c>
      <c r="V9" s="13">
        <v>47</v>
      </c>
      <c r="W9" s="17">
        <v>264</v>
      </c>
    </row>
    <row r="10" spans="1:23" ht="60" x14ac:dyDescent="0.2">
      <c r="A10" s="7" t="s">
        <v>133</v>
      </c>
      <c r="B10" s="8" t="s">
        <v>146</v>
      </c>
      <c r="C10" s="7">
        <f t="shared" si="0"/>
        <v>110</v>
      </c>
      <c r="D10" s="7">
        <f t="shared" si="1"/>
        <v>110</v>
      </c>
      <c r="E10" s="7">
        <f t="shared" si="5"/>
        <v>55</v>
      </c>
      <c r="F10" s="7">
        <f t="shared" si="6"/>
        <v>55</v>
      </c>
      <c r="G10" s="9">
        <f>G9*0.9</f>
        <v>333</v>
      </c>
      <c r="I10" s="7" t="s">
        <v>133</v>
      </c>
      <c r="J10" s="8" t="s">
        <v>147</v>
      </c>
      <c r="K10" s="7">
        <f t="shared" si="2"/>
        <v>115</v>
      </c>
      <c r="L10" s="7">
        <f t="shared" si="7"/>
        <v>115</v>
      </c>
      <c r="M10" s="7">
        <v>63</v>
      </c>
      <c r="N10" s="7">
        <v>63</v>
      </c>
      <c r="O10" s="15">
        <v>356</v>
      </c>
      <c r="Q10" s="7" t="s">
        <v>133</v>
      </c>
      <c r="R10" s="8" t="s">
        <v>148</v>
      </c>
      <c r="S10" s="7">
        <f t="shared" si="3"/>
        <v>80</v>
      </c>
      <c r="T10" s="7">
        <f t="shared" si="4"/>
        <v>80</v>
      </c>
      <c r="U10" s="7">
        <v>39</v>
      </c>
      <c r="V10" s="7">
        <v>39</v>
      </c>
      <c r="W10" s="6">
        <v>238</v>
      </c>
    </row>
    <row r="11" spans="1:23" x14ac:dyDescent="0.2">
      <c r="A11" s="14"/>
      <c r="B11" s="14"/>
      <c r="C11" s="14"/>
      <c r="D11" s="14"/>
      <c r="E11" s="14"/>
      <c r="F11" s="14"/>
      <c r="G11" s="14"/>
      <c r="I11" s="18"/>
      <c r="J11" s="19"/>
      <c r="K11" s="18"/>
      <c r="L11" s="18"/>
      <c r="M11" s="18"/>
      <c r="N11" s="18"/>
      <c r="O11" s="18"/>
      <c r="Q11" s="18"/>
      <c r="R11" s="19"/>
      <c r="S11" s="18"/>
      <c r="T11" s="18"/>
      <c r="U11" s="18"/>
      <c r="V11" s="18"/>
      <c r="W11" s="18"/>
    </row>
    <row r="12" spans="1:23" ht="45" x14ac:dyDescent="0.2">
      <c r="A12" s="7" t="s">
        <v>128</v>
      </c>
      <c r="B12" s="8" t="s">
        <v>147</v>
      </c>
      <c r="C12" s="7">
        <f t="shared" si="0"/>
        <v>145</v>
      </c>
      <c r="D12" s="7">
        <f t="shared" si="1"/>
        <v>145</v>
      </c>
      <c r="E12" s="7">
        <v>73</v>
      </c>
      <c r="F12" s="7">
        <v>72</v>
      </c>
      <c r="G12" s="9">
        <v>435</v>
      </c>
      <c r="I12" s="7" t="s">
        <v>128</v>
      </c>
      <c r="J12" s="8" t="s">
        <v>148</v>
      </c>
      <c r="K12" s="7">
        <f t="shared" si="2"/>
        <v>270</v>
      </c>
      <c r="L12" s="7">
        <f t="shared" si="7"/>
        <v>270</v>
      </c>
      <c r="M12" s="7">
        <v>139</v>
      </c>
      <c r="N12" s="7">
        <v>138</v>
      </c>
      <c r="O12" s="15">
        <v>817</v>
      </c>
      <c r="Q12" s="7" t="s">
        <v>128</v>
      </c>
      <c r="R12" s="8" t="s">
        <v>138</v>
      </c>
      <c r="S12" s="7">
        <f t="shared" si="3"/>
        <v>140</v>
      </c>
      <c r="T12" s="7">
        <f t="shared" si="4"/>
        <v>140</v>
      </c>
      <c r="U12" s="7">
        <v>71</v>
      </c>
      <c r="V12" s="7">
        <v>71</v>
      </c>
      <c r="W12" s="6">
        <v>422</v>
      </c>
    </row>
    <row r="13" spans="1:23" ht="45" x14ac:dyDescent="0.2">
      <c r="A13" s="13" t="s">
        <v>131</v>
      </c>
      <c r="B13" s="11" t="s">
        <v>147</v>
      </c>
      <c r="C13" s="13">
        <f t="shared" si="0"/>
        <v>130</v>
      </c>
      <c r="D13" s="13">
        <f t="shared" si="1"/>
        <v>130</v>
      </c>
      <c r="E13" s="13">
        <v>68</v>
      </c>
      <c r="F13" s="13">
        <v>67</v>
      </c>
      <c r="G13" s="12">
        <v>395</v>
      </c>
      <c r="I13" s="13" t="s">
        <v>131</v>
      </c>
      <c r="J13" s="11" t="s">
        <v>148</v>
      </c>
      <c r="K13" s="13">
        <f t="shared" si="2"/>
        <v>245</v>
      </c>
      <c r="L13" s="13">
        <f t="shared" si="7"/>
        <v>245</v>
      </c>
      <c r="M13" s="13">
        <v>126</v>
      </c>
      <c r="N13" s="13">
        <v>126</v>
      </c>
      <c r="O13" s="16">
        <v>742</v>
      </c>
      <c r="Q13" s="13" t="s">
        <v>131</v>
      </c>
      <c r="R13" s="11" t="s">
        <v>138</v>
      </c>
      <c r="S13" s="13">
        <f t="shared" si="3"/>
        <v>125</v>
      </c>
      <c r="T13" s="13">
        <f t="shared" si="4"/>
        <v>125</v>
      </c>
      <c r="U13" s="13">
        <v>67</v>
      </c>
      <c r="V13" s="13">
        <v>67</v>
      </c>
      <c r="W13" s="17">
        <v>384</v>
      </c>
    </row>
    <row r="14" spans="1:23" ht="45" x14ac:dyDescent="0.2">
      <c r="A14" s="7" t="s">
        <v>133</v>
      </c>
      <c r="B14" s="8" t="s">
        <v>147</v>
      </c>
      <c r="C14" s="7">
        <f t="shared" si="0"/>
        <v>115</v>
      </c>
      <c r="D14" s="7">
        <f t="shared" si="1"/>
        <v>115</v>
      </c>
      <c r="E14" s="7">
        <v>63</v>
      </c>
      <c r="F14" s="7">
        <v>63</v>
      </c>
      <c r="G14" s="9">
        <v>356</v>
      </c>
      <c r="I14" s="7" t="s">
        <v>133</v>
      </c>
      <c r="J14" s="8" t="s">
        <v>148</v>
      </c>
      <c r="K14" s="7">
        <f t="shared" si="2"/>
        <v>220</v>
      </c>
      <c r="L14" s="7">
        <f t="shared" si="7"/>
        <v>220</v>
      </c>
      <c r="M14" s="7">
        <v>114</v>
      </c>
      <c r="N14" s="7">
        <v>114</v>
      </c>
      <c r="O14" s="15">
        <v>668</v>
      </c>
      <c r="Q14" s="7" t="s">
        <v>133</v>
      </c>
      <c r="R14" s="8" t="s">
        <v>138</v>
      </c>
      <c r="S14" s="7">
        <f t="shared" si="3"/>
        <v>115</v>
      </c>
      <c r="T14" s="7">
        <f t="shared" si="4"/>
        <v>115</v>
      </c>
      <c r="U14" s="7">
        <v>58</v>
      </c>
      <c r="V14" s="7">
        <v>58</v>
      </c>
      <c r="W14" s="6">
        <v>346</v>
      </c>
    </row>
    <row r="15" spans="1:23" x14ac:dyDescent="0.2">
      <c r="A15" s="14"/>
      <c r="B15" s="14"/>
      <c r="C15" s="14"/>
      <c r="D15" s="14"/>
      <c r="E15" s="14"/>
      <c r="F15" s="14"/>
      <c r="G15" s="14"/>
      <c r="I15" s="18"/>
      <c r="J15" s="19"/>
      <c r="K15" s="18"/>
      <c r="L15" s="18"/>
      <c r="M15" s="18"/>
      <c r="N15" s="18"/>
      <c r="O15" s="18"/>
      <c r="Q15" s="18"/>
      <c r="R15" s="19"/>
      <c r="S15" s="18"/>
      <c r="T15" s="18"/>
      <c r="U15" s="18"/>
      <c r="V15" s="18"/>
      <c r="W15" s="18"/>
    </row>
    <row r="16" spans="1:23" ht="45" x14ac:dyDescent="0.2">
      <c r="A16" s="7" t="s">
        <v>128</v>
      </c>
      <c r="B16" s="8" t="s">
        <v>148</v>
      </c>
      <c r="C16" s="7">
        <f t="shared" si="0"/>
        <v>270</v>
      </c>
      <c r="D16" s="7">
        <f t="shared" si="1"/>
        <v>270</v>
      </c>
      <c r="E16" s="7">
        <v>138</v>
      </c>
      <c r="F16" s="7">
        <v>138</v>
      </c>
      <c r="G16" s="9">
        <v>816</v>
      </c>
      <c r="I16" s="7" t="s">
        <v>128</v>
      </c>
      <c r="J16" s="8" t="s">
        <v>138</v>
      </c>
      <c r="K16" s="7">
        <f t="shared" si="2"/>
        <v>350</v>
      </c>
      <c r="L16" s="7">
        <f t="shared" si="7"/>
        <v>350</v>
      </c>
      <c r="M16" s="7">
        <v>178</v>
      </c>
      <c r="N16" s="7">
        <v>178</v>
      </c>
      <c r="O16" s="15">
        <f>O17*1.1</f>
        <v>1056</v>
      </c>
      <c r="Q16" s="7" t="s">
        <v>128</v>
      </c>
      <c r="R16" s="8" t="s">
        <v>137</v>
      </c>
      <c r="S16" s="7">
        <v>18</v>
      </c>
      <c r="T16" s="7">
        <v>17</v>
      </c>
      <c r="U16" s="7">
        <v>10</v>
      </c>
      <c r="V16" s="7">
        <v>10</v>
      </c>
      <c r="W16" s="6">
        <v>55.000000000000007</v>
      </c>
    </row>
    <row r="17" spans="1:23" ht="45" x14ac:dyDescent="0.2">
      <c r="A17" s="13" t="s">
        <v>131</v>
      </c>
      <c r="B17" s="11" t="s">
        <v>148</v>
      </c>
      <c r="C17" s="13">
        <f t="shared" si="0"/>
        <v>245</v>
      </c>
      <c r="D17" s="13">
        <f t="shared" si="1"/>
        <v>245</v>
      </c>
      <c r="E17" s="13">
        <v>126</v>
      </c>
      <c r="F17" s="13">
        <v>126</v>
      </c>
      <c r="G17" s="12">
        <v>742</v>
      </c>
      <c r="I17" s="13" t="s">
        <v>131</v>
      </c>
      <c r="J17" s="11" t="s">
        <v>138</v>
      </c>
      <c r="K17" s="13">
        <f t="shared" si="2"/>
        <v>315</v>
      </c>
      <c r="L17" s="13">
        <f t="shared" si="7"/>
        <v>315</v>
      </c>
      <c r="M17" s="13">
        <f t="shared" si="8"/>
        <v>165</v>
      </c>
      <c r="N17" s="13">
        <f t="shared" ref="N17" si="11">MROUND(O17*0.17,5)</f>
        <v>165</v>
      </c>
      <c r="O17" s="16">
        <v>960</v>
      </c>
      <c r="Q17" s="13" t="s">
        <v>131</v>
      </c>
      <c r="R17" s="11" t="s">
        <v>137</v>
      </c>
      <c r="S17" s="13">
        <v>15</v>
      </c>
      <c r="T17" s="13">
        <v>15</v>
      </c>
      <c r="U17" s="13">
        <v>10</v>
      </c>
      <c r="V17" s="13">
        <v>10</v>
      </c>
      <c r="W17" s="17">
        <v>50</v>
      </c>
    </row>
    <row r="18" spans="1:23" ht="45" x14ac:dyDescent="0.2">
      <c r="A18" s="7" t="s">
        <v>133</v>
      </c>
      <c r="B18" s="8" t="s">
        <v>148</v>
      </c>
      <c r="C18" s="7">
        <f t="shared" si="0"/>
        <v>220</v>
      </c>
      <c r="D18" s="7">
        <f t="shared" si="1"/>
        <v>220</v>
      </c>
      <c r="E18" s="7">
        <v>114</v>
      </c>
      <c r="F18" s="7">
        <v>114</v>
      </c>
      <c r="G18" s="9">
        <v>668</v>
      </c>
      <c r="I18" s="7" t="s">
        <v>133</v>
      </c>
      <c r="J18" s="8" t="s">
        <v>138</v>
      </c>
      <c r="K18" s="7">
        <f t="shared" si="2"/>
        <v>285</v>
      </c>
      <c r="L18" s="7">
        <f t="shared" si="7"/>
        <v>285</v>
      </c>
      <c r="M18" s="7">
        <v>147</v>
      </c>
      <c r="N18" s="7">
        <v>147</v>
      </c>
      <c r="O18" s="15">
        <f>O17*0.9</f>
        <v>864</v>
      </c>
      <c r="Q18" s="7" t="s">
        <v>133</v>
      </c>
      <c r="R18" s="8" t="s">
        <v>137</v>
      </c>
      <c r="S18" s="7">
        <v>15</v>
      </c>
      <c r="T18" s="7">
        <v>15</v>
      </c>
      <c r="U18" s="7">
        <v>8</v>
      </c>
      <c r="V18" s="7">
        <v>7</v>
      </c>
      <c r="W18" s="6">
        <v>45</v>
      </c>
    </row>
    <row r="19" spans="1:23" x14ac:dyDescent="0.2">
      <c r="A19" s="14"/>
      <c r="B19" s="14"/>
      <c r="C19" s="14"/>
      <c r="D19" s="14"/>
      <c r="E19" s="14"/>
      <c r="F19" s="14"/>
      <c r="G19" s="14"/>
      <c r="I19" s="18"/>
      <c r="J19" s="19"/>
      <c r="K19" s="18"/>
      <c r="L19" s="18"/>
      <c r="M19" s="18"/>
      <c r="N19" s="18"/>
      <c r="O19" s="18"/>
      <c r="Q19" s="7"/>
      <c r="R19" s="8"/>
      <c r="S19" s="7"/>
      <c r="T19" s="7"/>
      <c r="U19" s="7"/>
      <c r="V19" s="7"/>
      <c r="W19" s="6"/>
    </row>
    <row r="20" spans="1:23" ht="30" x14ac:dyDescent="0.2">
      <c r="A20" s="7" t="s">
        <v>128</v>
      </c>
      <c r="B20" s="8" t="s">
        <v>138</v>
      </c>
      <c r="C20" s="7">
        <f t="shared" si="0"/>
        <v>350</v>
      </c>
      <c r="D20" s="7">
        <f t="shared" si="1"/>
        <v>350</v>
      </c>
      <c r="E20" s="7">
        <v>179</v>
      </c>
      <c r="F20" s="7">
        <v>177</v>
      </c>
      <c r="G20" s="9">
        <f>G21*1.1</f>
        <v>1056</v>
      </c>
      <c r="I20" s="7" t="s">
        <v>128</v>
      </c>
      <c r="J20" s="8" t="s">
        <v>137</v>
      </c>
      <c r="K20" s="7">
        <v>18</v>
      </c>
      <c r="L20" s="7">
        <v>17</v>
      </c>
      <c r="M20" s="7">
        <v>10</v>
      </c>
      <c r="N20" s="7">
        <v>10</v>
      </c>
      <c r="O20" s="15">
        <f>O21*1.1</f>
        <v>55.000000000000007</v>
      </c>
      <c r="Q20" s="13" t="s">
        <v>149</v>
      </c>
      <c r="R20" s="11" t="s">
        <v>137</v>
      </c>
      <c r="S20" s="13">
        <v>10</v>
      </c>
      <c r="T20" s="13">
        <v>10</v>
      </c>
      <c r="U20" s="13">
        <v>4</v>
      </c>
      <c r="V20" s="13">
        <v>4</v>
      </c>
      <c r="W20" s="17">
        <v>28</v>
      </c>
    </row>
    <row r="21" spans="1:23" ht="30" x14ac:dyDescent="0.2">
      <c r="A21" s="13" t="s">
        <v>131</v>
      </c>
      <c r="B21" s="11" t="s">
        <v>138</v>
      </c>
      <c r="C21" s="13">
        <f t="shared" si="0"/>
        <v>315</v>
      </c>
      <c r="D21" s="13">
        <f t="shared" si="1"/>
        <v>315</v>
      </c>
      <c r="E21" s="13">
        <f t="shared" si="5"/>
        <v>165</v>
      </c>
      <c r="F21" s="13">
        <f t="shared" si="6"/>
        <v>165</v>
      </c>
      <c r="G21" s="12">
        <v>960</v>
      </c>
      <c r="I21" s="13" t="s">
        <v>131</v>
      </c>
      <c r="J21" s="11" t="s">
        <v>137</v>
      </c>
      <c r="K21" s="13">
        <f t="shared" si="2"/>
        <v>15</v>
      </c>
      <c r="L21" s="13">
        <f t="shared" si="7"/>
        <v>15</v>
      </c>
      <c r="M21" s="13">
        <f t="shared" ref="M21" si="12">MROUND(O21*0.17,5)</f>
        <v>10</v>
      </c>
      <c r="N21" s="13">
        <f t="shared" ref="N21" si="13">MROUND(O21*0.17,5)</f>
        <v>10</v>
      </c>
      <c r="O21" s="16">
        <f>100/2</f>
        <v>50</v>
      </c>
      <c r="Q21" s="13" t="s">
        <v>150</v>
      </c>
      <c r="R21" s="11" t="s">
        <v>137</v>
      </c>
      <c r="S21" s="13">
        <v>8</v>
      </c>
      <c r="T21" s="13">
        <v>8</v>
      </c>
      <c r="U21" s="13">
        <v>5</v>
      </c>
      <c r="V21" s="13">
        <v>4</v>
      </c>
      <c r="W21" s="17">
        <v>25</v>
      </c>
    </row>
    <row r="22" spans="1:23" ht="30" x14ac:dyDescent="0.2">
      <c r="A22" s="7" t="s">
        <v>133</v>
      </c>
      <c r="B22" s="8" t="s">
        <v>138</v>
      </c>
      <c r="C22" s="7">
        <f t="shared" si="0"/>
        <v>285</v>
      </c>
      <c r="D22" s="7">
        <f t="shared" si="1"/>
        <v>285</v>
      </c>
      <c r="E22" s="7">
        <v>147</v>
      </c>
      <c r="F22" s="7">
        <v>147</v>
      </c>
      <c r="G22" s="9">
        <f>G21*0.9</f>
        <v>864</v>
      </c>
      <c r="I22" s="7" t="s">
        <v>133</v>
      </c>
      <c r="J22" s="8" t="s">
        <v>137</v>
      </c>
      <c r="K22" s="7">
        <f t="shared" si="2"/>
        <v>15</v>
      </c>
      <c r="L22" s="7">
        <f t="shared" si="7"/>
        <v>15</v>
      </c>
      <c r="M22" s="7">
        <v>8</v>
      </c>
      <c r="N22" s="7">
        <v>7</v>
      </c>
      <c r="O22" s="15">
        <f>O21*0.9</f>
        <v>45</v>
      </c>
      <c r="Q22" s="13" t="s">
        <v>151</v>
      </c>
      <c r="R22" s="11" t="s">
        <v>137</v>
      </c>
      <c r="S22" s="13">
        <v>8</v>
      </c>
      <c r="T22" s="13">
        <v>8</v>
      </c>
      <c r="U22" s="13">
        <v>4</v>
      </c>
      <c r="V22" s="13">
        <v>3</v>
      </c>
      <c r="W22" s="17">
        <v>23</v>
      </c>
    </row>
    <row r="23" spans="1:23" x14ac:dyDescent="0.2">
      <c r="A23" s="18"/>
      <c r="B23" s="19"/>
      <c r="C23" s="18"/>
      <c r="D23" s="18"/>
      <c r="E23" s="18"/>
      <c r="F23" s="18"/>
      <c r="G23" s="18"/>
      <c r="I23" s="7"/>
      <c r="J23" s="8"/>
      <c r="K23" s="7"/>
      <c r="L23" s="7"/>
      <c r="M23" s="7"/>
      <c r="N23" s="7"/>
      <c r="O23" s="15"/>
      <c r="Q23" s="20"/>
      <c r="R23" s="21"/>
      <c r="S23" s="20"/>
      <c r="T23" s="20"/>
      <c r="U23" s="20"/>
      <c r="V23" s="20"/>
      <c r="W23" s="20"/>
    </row>
    <row r="24" spans="1:23" ht="30" x14ac:dyDescent="0.2">
      <c r="A24" s="7" t="s">
        <v>128</v>
      </c>
      <c r="B24" s="8" t="s">
        <v>152</v>
      </c>
      <c r="C24" s="7">
        <f t="shared" si="0"/>
        <v>30</v>
      </c>
      <c r="D24" s="7">
        <f t="shared" si="1"/>
        <v>30</v>
      </c>
      <c r="E24" s="7">
        <v>17</v>
      </c>
      <c r="F24" s="7">
        <v>17</v>
      </c>
      <c r="G24" s="9">
        <v>94</v>
      </c>
      <c r="I24" s="13" t="s">
        <v>149</v>
      </c>
      <c r="J24" s="11" t="s">
        <v>137</v>
      </c>
      <c r="K24" s="13">
        <v>10</v>
      </c>
      <c r="L24" s="13">
        <v>10</v>
      </c>
      <c r="M24" s="13">
        <v>4</v>
      </c>
      <c r="N24" s="13">
        <v>4</v>
      </c>
      <c r="O24" s="16">
        <v>28</v>
      </c>
      <c r="Q24" s="7" t="s">
        <v>128</v>
      </c>
      <c r="R24" s="8" t="s">
        <v>139</v>
      </c>
      <c r="S24" s="7">
        <v>14</v>
      </c>
      <c r="T24" s="7">
        <v>14</v>
      </c>
      <c r="U24" s="7">
        <v>6</v>
      </c>
      <c r="V24" s="7">
        <v>5</v>
      </c>
      <c r="W24" s="6">
        <v>39</v>
      </c>
    </row>
    <row r="25" spans="1:23" ht="30" x14ac:dyDescent="0.2">
      <c r="A25" s="13" t="s">
        <v>131</v>
      </c>
      <c r="B25" s="11" t="s">
        <v>152</v>
      </c>
      <c r="C25" s="13">
        <f t="shared" si="0"/>
        <v>30</v>
      </c>
      <c r="D25" s="13">
        <f t="shared" si="1"/>
        <v>30</v>
      </c>
      <c r="E25" s="13">
        <v>13</v>
      </c>
      <c r="F25" s="13">
        <v>12</v>
      </c>
      <c r="G25" s="12">
        <f>170/2</f>
        <v>85</v>
      </c>
      <c r="I25" s="13" t="s">
        <v>150</v>
      </c>
      <c r="J25" s="11" t="s">
        <v>137</v>
      </c>
      <c r="K25" s="13">
        <v>8</v>
      </c>
      <c r="L25" s="13">
        <v>8</v>
      </c>
      <c r="M25" s="13">
        <v>5</v>
      </c>
      <c r="N25" s="13">
        <v>4</v>
      </c>
      <c r="O25" s="16">
        <v>25</v>
      </c>
      <c r="Q25" s="13" t="s">
        <v>131</v>
      </c>
      <c r="R25" s="11" t="s">
        <v>139</v>
      </c>
      <c r="S25" s="13">
        <v>12</v>
      </c>
      <c r="T25" s="13">
        <v>12</v>
      </c>
      <c r="U25" s="13">
        <v>6</v>
      </c>
      <c r="V25" s="13">
        <v>5</v>
      </c>
      <c r="W25" s="17">
        <v>35</v>
      </c>
    </row>
    <row r="26" spans="1:23" ht="30" x14ac:dyDescent="0.2">
      <c r="A26" s="7" t="s">
        <v>133</v>
      </c>
      <c r="B26" s="8" t="s">
        <v>152</v>
      </c>
      <c r="C26" s="7">
        <v>26</v>
      </c>
      <c r="D26" s="7">
        <v>26</v>
      </c>
      <c r="E26" s="7">
        <v>13</v>
      </c>
      <c r="F26" s="7">
        <v>12</v>
      </c>
      <c r="G26" s="9">
        <v>77</v>
      </c>
      <c r="I26" s="13" t="s">
        <v>151</v>
      </c>
      <c r="J26" s="11" t="s">
        <v>137</v>
      </c>
      <c r="K26" s="13">
        <v>8</v>
      </c>
      <c r="L26" s="13">
        <v>8</v>
      </c>
      <c r="M26" s="13">
        <v>4</v>
      </c>
      <c r="N26" s="13">
        <v>3</v>
      </c>
      <c r="O26" s="16">
        <v>23</v>
      </c>
      <c r="Q26" s="7" t="s">
        <v>133</v>
      </c>
      <c r="R26" s="8" t="s">
        <v>139</v>
      </c>
      <c r="S26" s="7">
        <v>12</v>
      </c>
      <c r="T26" s="7">
        <v>12</v>
      </c>
      <c r="U26" s="7">
        <v>4</v>
      </c>
      <c r="V26" s="7">
        <v>4</v>
      </c>
      <c r="W26" s="6">
        <v>32</v>
      </c>
    </row>
    <row r="27" spans="1:23" x14ac:dyDescent="0.2">
      <c r="A27" s="7"/>
      <c r="B27" s="8"/>
      <c r="C27" s="7"/>
      <c r="D27" s="7"/>
      <c r="E27" s="7"/>
      <c r="F27" s="7"/>
      <c r="G27" s="9"/>
      <c r="I27" s="20"/>
      <c r="J27" s="21"/>
      <c r="K27" s="20"/>
      <c r="L27" s="20"/>
      <c r="M27" s="20"/>
      <c r="N27" s="20"/>
      <c r="O27" s="20"/>
      <c r="Q27" s="7"/>
      <c r="R27" s="8"/>
      <c r="S27" s="7"/>
      <c r="T27" s="7"/>
      <c r="U27" s="7"/>
      <c r="V27" s="7"/>
      <c r="W27" s="6"/>
    </row>
    <row r="28" spans="1:23" ht="30" x14ac:dyDescent="0.2">
      <c r="A28" s="13" t="s">
        <v>149</v>
      </c>
      <c r="B28" s="11" t="s">
        <v>152</v>
      </c>
      <c r="C28" s="13">
        <f t="shared" si="0"/>
        <v>15</v>
      </c>
      <c r="D28" s="13">
        <f t="shared" si="1"/>
        <v>15</v>
      </c>
      <c r="E28" s="13">
        <v>9</v>
      </c>
      <c r="F28" s="13">
        <v>9</v>
      </c>
      <c r="G28" s="12">
        <v>48</v>
      </c>
      <c r="I28" s="7" t="s">
        <v>128</v>
      </c>
      <c r="J28" s="8" t="s">
        <v>139</v>
      </c>
      <c r="K28" s="7">
        <v>14</v>
      </c>
      <c r="L28" s="7">
        <v>14</v>
      </c>
      <c r="M28" s="7">
        <v>6</v>
      </c>
      <c r="N28" s="7">
        <v>5</v>
      </c>
      <c r="O28" s="15">
        <v>39</v>
      </c>
      <c r="Q28" s="13" t="s">
        <v>149</v>
      </c>
      <c r="R28" s="11" t="s">
        <v>139</v>
      </c>
      <c r="S28" s="13">
        <v>6</v>
      </c>
      <c r="T28" s="13">
        <v>5</v>
      </c>
      <c r="U28" s="13">
        <v>5</v>
      </c>
      <c r="V28" s="13">
        <v>4</v>
      </c>
      <c r="W28" s="17">
        <v>20</v>
      </c>
    </row>
    <row r="29" spans="1:23" ht="30" x14ac:dyDescent="0.2">
      <c r="A29" s="13" t="s">
        <v>150</v>
      </c>
      <c r="B29" s="11" t="s">
        <v>152</v>
      </c>
      <c r="C29" s="13">
        <f t="shared" si="0"/>
        <v>15</v>
      </c>
      <c r="D29" s="13">
        <f t="shared" si="1"/>
        <v>15</v>
      </c>
      <c r="E29" s="13">
        <v>7</v>
      </c>
      <c r="F29" s="13">
        <v>6</v>
      </c>
      <c r="G29" s="12">
        <v>43</v>
      </c>
      <c r="I29" s="13" t="s">
        <v>131</v>
      </c>
      <c r="J29" s="11" t="s">
        <v>139</v>
      </c>
      <c r="K29" s="13">
        <v>12</v>
      </c>
      <c r="L29" s="13">
        <v>12</v>
      </c>
      <c r="M29" s="13">
        <v>6</v>
      </c>
      <c r="N29" s="13">
        <v>5</v>
      </c>
      <c r="O29" s="16">
        <v>35</v>
      </c>
      <c r="Q29" s="13" t="s">
        <v>150</v>
      </c>
      <c r="R29" s="11" t="s">
        <v>139</v>
      </c>
      <c r="S29" s="13">
        <v>5</v>
      </c>
      <c r="T29" s="13">
        <v>5</v>
      </c>
      <c r="U29" s="13">
        <v>4</v>
      </c>
      <c r="V29" s="13">
        <v>4</v>
      </c>
      <c r="W29" s="17">
        <v>18</v>
      </c>
    </row>
    <row r="30" spans="1:23" ht="30" x14ac:dyDescent="0.2">
      <c r="A30" s="13" t="s">
        <v>151</v>
      </c>
      <c r="B30" s="11" t="s">
        <v>152</v>
      </c>
      <c r="C30" s="13">
        <f t="shared" si="0"/>
        <v>15</v>
      </c>
      <c r="D30" s="13">
        <f t="shared" si="1"/>
        <v>15</v>
      </c>
      <c r="E30" s="13">
        <f t="shared" si="5"/>
        <v>5</v>
      </c>
      <c r="F30" s="13">
        <v>4</v>
      </c>
      <c r="G30" s="12">
        <v>39</v>
      </c>
      <c r="I30" s="7" t="s">
        <v>133</v>
      </c>
      <c r="J30" s="8" t="s">
        <v>139</v>
      </c>
      <c r="K30" s="7">
        <v>12</v>
      </c>
      <c r="L30" s="7">
        <v>12</v>
      </c>
      <c r="M30" s="7">
        <v>4</v>
      </c>
      <c r="N30" s="7">
        <v>4</v>
      </c>
      <c r="O30" s="15">
        <v>32</v>
      </c>
      <c r="Q30" s="13" t="s">
        <v>151</v>
      </c>
      <c r="R30" s="11" t="s">
        <v>139</v>
      </c>
      <c r="S30" s="13">
        <v>5</v>
      </c>
      <c r="T30" s="13">
        <v>5</v>
      </c>
      <c r="U30" s="13">
        <v>3</v>
      </c>
      <c r="V30" s="13">
        <v>3</v>
      </c>
      <c r="W30" s="17">
        <v>16</v>
      </c>
    </row>
    <row r="31" spans="1:23" x14ac:dyDescent="0.2">
      <c r="A31" s="20"/>
      <c r="B31" s="21"/>
      <c r="C31" s="20"/>
      <c r="D31" s="20"/>
      <c r="E31" s="20"/>
      <c r="F31" s="20"/>
      <c r="G31" s="20"/>
      <c r="I31" s="7"/>
      <c r="J31" s="8"/>
      <c r="K31" s="7"/>
      <c r="L31" s="7"/>
      <c r="M31" s="7"/>
      <c r="N31" s="7"/>
      <c r="O31" s="15"/>
    </row>
    <row r="32" spans="1:23" ht="30" x14ac:dyDescent="0.2">
      <c r="A32" s="7" t="s">
        <v>128</v>
      </c>
      <c r="B32" s="8" t="s">
        <v>137</v>
      </c>
      <c r="C32" s="7">
        <v>18</v>
      </c>
      <c r="D32" s="7">
        <v>17</v>
      </c>
      <c r="E32" s="7">
        <v>10</v>
      </c>
      <c r="F32" s="7">
        <v>10</v>
      </c>
      <c r="G32" s="9">
        <v>55.000000000000007</v>
      </c>
      <c r="I32" s="13" t="s">
        <v>149</v>
      </c>
      <c r="J32" s="11" t="s">
        <v>139</v>
      </c>
      <c r="K32" s="13">
        <v>6</v>
      </c>
      <c r="L32" s="13">
        <v>5</v>
      </c>
      <c r="M32" s="13">
        <v>5</v>
      </c>
      <c r="N32" s="13">
        <v>4</v>
      </c>
      <c r="O32" s="16">
        <v>20</v>
      </c>
    </row>
    <row r="33" spans="1:15" ht="25.9" customHeight="1" x14ac:dyDescent="0.2">
      <c r="A33" s="13" t="s">
        <v>131</v>
      </c>
      <c r="B33" s="11" t="s">
        <v>137</v>
      </c>
      <c r="C33" s="13">
        <v>15</v>
      </c>
      <c r="D33" s="13">
        <v>15</v>
      </c>
      <c r="E33" s="13">
        <v>10</v>
      </c>
      <c r="F33" s="13">
        <v>10</v>
      </c>
      <c r="G33" s="12">
        <v>50</v>
      </c>
      <c r="I33" s="13" t="s">
        <v>150</v>
      </c>
      <c r="J33" s="11" t="s">
        <v>139</v>
      </c>
      <c r="K33" s="13">
        <v>5</v>
      </c>
      <c r="L33" s="13">
        <v>5</v>
      </c>
      <c r="M33" s="13">
        <v>4</v>
      </c>
      <c r="N33" s="13">
        <v>4</v>
      </c>
      <c r="O33" s="16">
        <v>18</v>
      </c>
    </row>
    <row r="34" spans="1:15" ht="25.9" customHeight="1" x14ac:dyDescent="0.2">
      <c r="A34" s="7" t="s">
        <v>133</v>
      </c>
      <c r="B34" s="8" t="s">
        <v>137</v>
      </c>
      <c r="C34" s="7">
        <v>15</v>
      </c>
      <c r="D34" s="7">
        <v>15</v>
      </c>
      <c r="E34" s="7">
        <v>8</v>
      </c>
      <c r="F34" s="7">
        <v>7</v>
      </c>
      <c r="G34" s="9">
        <v>45</v>
      </c>
      <c r="I34" s="13" t="s">
        <v>151</v>
      </c>
      <c r="J34" s="11" t="s">
        <v>139</v>
      </c>
      <c r="K34" s="13">
        <v>5</v>
      </c>
      <c r="L34" s="13">
        <v>5</v>
      </c>
      <c r="M34" s="13">
        <v>3</v>
      </c>
      <c r="N34" s="13">
        <v>3</v>
      </c>
      <c r="O34" s="16">
        <v>16</v>
      </c>
    </row>
    <row r="35" spans="1:15" ht="15" customHeight="1" x14ac:dyDescent="0.2">
      <c r="A35" s="7"/>
      <c r="B35" s="8"/>
      <c r="C35" s="7"/>
      <c r="D35" s="7"/>
      <c r="E35" s="7"/>
      <c r="F35" s="7"/>
      <c r="G35" s="9"/>
      <c r="I35" s="13"/>
      <c r="J35" s="11"/>
      <c r="K35" s="13"/>
      <c r="L35" s="13"/>
      <c r="M35" s="13"/>
      <c r="N35" s="13"/>
      <c r="O35" s="13"/>
    </row>
    <row r="36" spans="1:15" ht="33" customHeight="1" x14ac:dyDescent="0.2">
      <c r="A36" s="13" t="s">
        <v>149</v>
      </c>
      <c r="B36" s="11" t="s">
        <v>137</v>
      </c>
      <c r="C36" s="13">
        <f t="shared" si="0"/>
        <v>10</v>
      </c>
      <c r="D36" s="13">
        <f t="shared" si="1"/>
        <v>10</v>
      </c>
      <c r="E36" s="13">
        <v>4</v>
      </c>
      <c r="F36" s="13">
        <v>4</v>
      </c>
      <c r="G36" s="12">
        <v>28</v>
      </c>
    </row>
    <row r="37" spans="1:15" ht="25.9" customHeight="1" x14ac:dyDescent="0.2">
      <c r="A37" s="13" t="s">
        <v>150</v>
      </c>
      <c r="B37" s="11" t="s">
        <v>137</v>
      </c>
      <c r="C37" s="13">
        <v>8</v>
      </c>
      <c r="D37" s="13">
        <v>8</v>
      </c>
      <c r="E37" s="13">
        <v>5</v>
      </c>
      <c r="F37" s="13">
        <v>4</v>
      </c>
      <c r="G37" s="12">
        <f>50/2</f>
        <v>25</v>
      </c>
    </row>
    <row r="38" spans="1:15" ht="30" customHeight="1" x14ac:dyDescent="0.2">
      <c r="A38" s="13" t="s">
        <v>151</v>
      </c>
      <c r="B38" s="11" t="s">
        <v>137</v>
      </c>
      <c r="C38" s="13">
        <v>8</v>
      </c>
      <c r="D38" s="13">
        <v>8</v>
      </c>
      <c r="E38" s="13">
        <v>4</v>
      </c>
      <c r="F38" s="13">
        <v>3</v>
      </c>
      <c r="G38" s="12">
        <v>23</v>
      </c>
    </row>
    <row r="39" spans="1:15" x14ac:dyDescent="0.2">
      <c r="A39" s="20"/>
      <c r="B39" s="21"/>
      <c r="C39" s="20"/>
      <c r="D39" s="20"/>
      <c r="E39" s="20"/>
      <c r="F39" s="20"/>
      <c r="G39" s="20"/>
    </row>
    <row r="40" spans="1:15" ht="30" x14ac:dyDescent="0.2">
      <c r="A40" s="7" t="s">
        <v>128</v>
      </c>
      <c r="B40" s="8" t="s">
        <v>139</v>
      </c>
      <c r="C40" s="7">
        <v>14</v>
      </c>
      <c r="D40" s="7">
        <v>14</v>
      </c>
      <c r="E40" s="7">
        <v>6</v>
      </c>
      <c r="F40" s="7">
        <v>5</v>
      </c>
      <c r="G40" s="9">
        <v>39</v>
      </c>
    </row>
    <row r="41" spans="1:15" ht="30" x14ac:dyDescent="0.2">
      <c r="A41" s="13" t="s">
        <v>131</v>
      </c>
      <c r="B41" s="11" t="s">
        <v>139</v>
      </c>
      <c r="C41" s="13">
        <v>12</v>
      </c>
      <c r="D41" s="13">
        <v>12</v>
      </c>
      <c r="E41" s="13">
        <v>6</v>
      </c>
      <c r="F41" s="13">
        <v>5</v>
      </c>
      <c r="G41" s="12">
        <f>70/2</f>
        <v>35</v>
      </c>
    </row>
    <row r="42" spans="1:15" ht="30" x14ac:dyDescent="0.2">
      <c r="A42" s="7" t="s">
        <v>133</v>
      </c>
      <c r="B42" s="8" t="s">
        <v>139</v>
      </c>
      <c r="C42" s="7">
        <v>12</v>
      </c>
      <c r="D42" s="7">
        <v>12</v>
      </c>
      <c r="E42" s="7">
        <v>4</v>
      </c>
      <c r="F42" s="7">
        <v>4</v>
      </c>
      <c r="G42" s="9">
        <v>32</v>
      </c>
    </row>
    <row r="43" spans="1:15" x14ac:dyDescent="0.2">
      <c r="A43" s="7"/>
      <c r="B43" s="8"/>
      <c r="C43" s="7"/>
      <c r="D43" s="7"/>
      <c r="E43" s="7"/>
      <c r="F43" s="7"/>
      <c r="G43" s="9"/>
    </row>
    <row r="44" spans="1:15" ht="30" x14ac:dyDescent="0.2">
      <c r="A44" s="13" t="s">
        <v>149</v>
      </c>
      <c r="B44" s="11" t="s">
        <v>139</v>
      </c>
      <c r="C44" s="13">
        <v>6</v>
      </c>
      <c r="D44" s="13">
        <f t="shared" si="1"/>
        <v>5</v>
      </c>
      <c r="E44" s="13">
        <f t="shared" si="5"/>
        <v>5</v>
      </c>
      <c r="F44" s="13">
        <v>4</v>
      </c>
      <c r="G44" s="12">
        <v>20</v>
      </c>
    </row>
    <row r="45" spans="1:15" ht="30" x14ac:dyDescent="0.2">
      <c r="A45" s="13" t="s">
        <v>150</v>
      </c>
      <c r="B45" s="11" t="s">
        <v>139</v>
      </c>
      <c r="C45" s="13">
        <f t="shared" si="0"/>
        <v>5</v>
      </c>
      <c r="D45" s="13">
        <f t="shared" si="1"/>
        <v>5</v>
      </c>
      <c r="E45" s="13">
        <v>4</v>
      </c>
      <c r="F45" s="13">
        <v>4</v>
      </c>
      <c r="G45" s="12">
        <v>18</v>
      </c>
    </row>
    <row r="46" spans="1:15" ht="30" x14ac:dyDescent="0.2">
      <c r="A46" s="13" t="s">
        <v>151</v>
      </c>
      <c r="B46" s="11" t="s">
        <v>139</v>
      </c>
      <c r="C46" s="13">
        <f t="shared" si="0"/>
        <v>5</v>
      </c>
      <c r="D46" s="13">
        <f t="shared" si="1"/>
        <v>5</v>
      </c>
      <c r="E46" s="13">
        <v>3</v>
      </c>
      <c r="F46" s="13">
        <v>3</v>
      </c>
      <c r="G46" s="12">
        <v>16</v>
      </c>
    </row>
  </sheetData>
  <sheetProtection algorithmName="SHA-512" hashValue="LBsHP5Pkdg/J5OGzgdpzmmqdLq56j6RIFxzMDMM56Ru8BCsbrcyjN6VtyNbIyxt7Aek+uuN+Sm0djperbmUU+A==" saltValue="ciru0btS6P67eXz5vdk9DQ==" spinCount="100000" sheet="1" objects="1" scenarios="1"/>
  <mergeCells count="4">
    <mergeCell ref="A2:G2"/>
    <mergeCell ref="I2:O2"/>
    <mergeCell ref="Q2:W2"/>
    <mergeCell ref="A1:W1"/>
  </mergeCells>
  <pageMargins left="0.7" right="0.7" top="0.75" bottom="0.75" header="0.3" footer="0.3"/>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0911E-BD17-40B4-A63B-C46BD44C06D4}">
  <dimension ref="A1:N23"/>
  <sheetViews>
    <sheetView topLeftCell="A21" zoomScale="85" zoomScaleNormal="85" workbookViewId="0">
      <selection activeCell="H10" sqref="H9:H10"/>
    </sheetView>
  </sheetViews>
  <sheetFormatPr defaultRowHeight="15" x14ac:dyDescent="0.2"/>
  <sheetData>
    <row r="1" spans="1:14" x14ac:dyDescent="0.2">
      <c r="A1" s="287" t="s">
        <v>153</v>
      </c>
      <c r="B1" s="287"/>
      <c r="C1" s="287"/>
      <c r="D1" s="287"/>
      <c r="E1" s="287"/>
      <c r="F1" s="287"/>
      <c r="G1" s="287"/>
      <c r="H1" s="287"/>
      <c r="I1" s="287"/>
      <c r="J1" s="287"/>
      <c r="K1" s="287"/>
      <c r="L1" s="287"/>
      <c r="M1" s="287"/>
      <c r="N1" s="1"/>
    </row>
    <row r="2" spans="1:14" ht="135" x14ac:dyDescent="0.2">
      <c r="A2" s="1" t="s">
        <v>154</v>
      </c>
      <c r="B2" s="1" t="s">
        <v>120</v>
      </c>
      <c r="C2" s="1" t="s">
        <v>155</v>
      </c>
      <c r="D2" s="1" t="s">
        <v>156</v>
      </c>
      <c r="E2" s="1" t="s">
        <v>157</v>
      </c>
      <c r="F2" s="1" t="s">
        <v>158</v>
      </c>
      <c r="G2" s="1" t="s">
        <v>159</v>
      </c>
      <c r="H2" s="1" t="s">
        <v>160</v>
      </c>
      <c r="I2" s="1" t="s">
        <v>161</v>
      </c>
      <c r="J2" s="1" t="s">
        <v>162</v>
      </c>
      <c r="K2" s="1" t="s">
        <v>163</v>
      </c>
      <c r="L2" s="1" t="s">
        <v>164</v>
      </c>
      <c r="M2" s="1" t="s">
        <v>165</v>
      </c>
      <c r="N2" s="1" t="s">
        <v>166</v>
      </c>
    </row>
    <row r="3" spans="1:14" ht="30" x14ac:dyDescent="0.2">
      <c r="A3" s="1" t="s">
        <v>116</v>
      </c>
      <c r="B3" s="1" t="s">
        <v>145</v>
      </c>
      <c r="C3" s="1">
        <v>41.66</v>
      </c>
      <c r="D3" s="1">
        <v>11</v>
      </c>
      <c r="E3" s="1">
        <v>2</v>
      </c>
      <c r="F3" s="1">
        <v>5.5</v>
      </c>
      <c r="G3" s="2" t="s">
        <v>167</v>
      </c>
      <c r="H3" s="1">
        <v>6.72</v>
      </c>
      <c r="I3" s="1">
        <v>40</v>
      </c>
      <c r="J3" s="1">
        <v>22</v>
      </c>
      <c r="K3" s="1">
        <v>0</v>
      </c>
      <c r="L3" s="1">
        <v>880</v>
      </c>
      <c r="M3" s="1">
        <v>0</v>
      </c>
      <c r="N3" s="1"/>
    </row>
    <row r="4" spans="1:14" ht="150" x14ac:dyDescent="0.2">
      <c r="A4" s="1" t="s">
        <v>116</v>
      </c>
      <c r="B4" s="1" t="s">
        <v>146</v>
      </c>
      <c r="C4" s="1">
        <v>45</v>
      </c>
      <c r="D4" s="1">
        <v>10</v>
      </c>
      <c r="E4" s="1">
        <v>1</v>
      </c>
      <c r="F4" s="1">
        <v>10</v>
      </c>
      <c r="G4" s="2" t="s">
        <v>167</v>
      </c>
      <c r="H4" s="1">
        <v>12.44</v>
      </c>
      <c r="I4" s="1">
        <v>37</v>
      </c>
      <c r="J4" s="1">
        <v>20.8</v>
      </c>
      <c r="K4" s="1">
        <v>0</v>
      </c>
      <c r="L4" s="1">
        <v>370</v>
      </c>
      <c r="M4" s="1">
        <v>0</v>
      </c>
      <c r="N4" s="3" t="s">
        <v>168</v>
      </c>
    </row>
    <row r="5" spans="1:14" ht="150" x14ac:dyDescent="0.2">
      <c r="A5" s="1" t="s">
        <v>116</v>
      </c>
      <c r="B5" s="1" t="s">
        <v>147</v>
      </c>
      <c r="C5" s="1">
        <v>45</v>
      </c>
      <c r="D5" s="1">
        <v>13</v>
      </c>
      <c r="E5" s="1">
        <v>1</v>
      </c>
      <c r="F5" s="1">
        <v>13</v>
      </c>
      <c r="G5" s="2" t="s">
        <v>169</v>
      </c>
      <c r="H5" s="1">
        <v>9.33</v>
      </c>
      <c r="I5" s="1">
        <v>19</v>
      </c>
      <c r="J5" s="1">
        <v>20.8</v>
      </c>
      <c r="K5" s="1">
        <v>0</v>
      </c>
      <c r="L5" s="1">
        <v>395</v>
      </c>
      <c r="M5" s="1">
        <v>0</v>
      </c>
      <c r="N5" s="3" t="s">
        <v>168</v>
      </c>
    </row>
    <row r="6" spans="1:14" ht="60" x14ac:dyDescent="0.2">
      <c r="A6" s="1" t="s">
        <v>116</v>
      </c>
      <c r="B6" s="1" t="s">
        <v>148</v>
      </c>
      <c r="C6" s="1">
        <v>45</v>
      </c>
      <c r="D6" s="1">
        <v>12</v>
      </c>
      <c r="E6" s="1">
        <v>2.5</v>
      </c>
      <c r="F6" s="1">
        <v>4.8</v>
      </c>
      <c r="G6" s="2" t="s">
        <v>169</v>
      </c>
      <c r="H6" s="1">
        <v>3.73</v>
      </c>
      <c r="I6" s="1">
        <v>33</v>
      </c>
      <c r="J6" s="1">
        <v>22.5</v>
      </c>
      <c r="K6" s="1">
        <v>0</v>
      </c>
      <c r="L6" s="1">
        <v>742</v>
      </c>
      <c r="M6" s="1">
        <v>0</v>
      </c>
      <c r="N6" s="1"/>
    </row>
    <row r="7" spans="1:14" ht="30" x14ac:dyDescent="0.2">
      <c r="A7" s="1" t="s">
        <v>116</v>
      </c>
      <c r="B7" s="1" t="s">
        <v>138</v>
      </c>
      <c r="C7" s="1">
        <v>52.5</v>
      </c>
      <c r="D7" s="1">
        <v>8</v>
      </c>
      <c r="E7" s="1">
        <v>1.5</v>
      </c>
      <c r="F7" s="1">
        <v>5.33</v>
      </c>
      <c r="G7" s="2" t="s">
        <v>169</v>
      </c>
      <c r="H7" s="1">
        <v>5.33</v>
      </c>
      <c r="I7" s="1">
        <v>32</v>
      </c>
      <c r="J7" s="1">
        <v>30</v>
      </c>
      <c r="K7" s="1">
        <v>0</v>
      </c>
      <c r="L7" s="1">
        <v>960</v>
      </c>
      <c r="M7" s="1">
        <v>0</v>
      </c>
      <c r="N7" s="1"/>
    </row>
    <row r="8" spans="1:14" ht="75" x14ac:dyDescent="0.2">
      <c r="A8" s="1" t="s">
        <v>116</v>
      </c>
      <c r="B8" s="1" t="s">
        <v>170</v>
      </c>
      <c r="C8" s="1">
        <v>120</v>
      </c>
      <c r="D8" s="1">
        <v>7</v>
      </c>
      <c r="E8" s="1">
        <v>1</v>
      </c>
      <c r="F8" s="1">
        <v>7</v>
      </c>
      <c r="G8" s="2" t="s">
        <v>171</v>
      </c>
      <c r="H8" s="1">
        <v>3.5</v>
      </c>
      <c r="I8" s="1">
        <v>17</v>
      </c>
      <c r="J8" s="1">
        <v>10</v>
      </c>
      <c r="K8" s="1">
        <v>5</v>
      </c>
      <c r="L8" s="1">
        <v>170</v>
      </c>
      <c r="M8" s="1">
        <v>85</v>
      </c>
      <c r="N8" s="1"/>
    </row>
    <row r="9" spans="1:14" ht="75" x14ac:dyDescent="0.2">
      <c r="A9" s="1" t="s">
        <v>116</v>
      </c>
      <c r="B9" s="1" t="s">
        <v>172</v>
      </c>
      <c r="C9" s="1">
        <v>120</v>
      </c>
      <c r="D9" s="1">
        <v>10</v>
      </c>
      <c r="E9" s="1">
        <v>1</v>
      </c>
      <c r="F9" s="1">
        <v>10</v>
      </c>
      <c r="G9" s="2" t="s">
        <v>171</v>
      </c>
      <c r="H9" s="1">
        <v>3.5</v>
      </c>
      <c r="I9" s="1">
        <v>10</v>
      </c>
      <c r="J9" s="1">
        <v>10</v>
      </c>
      <c r="K9" s="1">
        <v>5</v>
      </c>
      <c r="L9" s="1">
        <v>100</v>
      </c>
      <c r="M9" s="1">
        <v>50</v>
      </c>
      <c r="N9" s="1"/>
    </row>
    <row r="10" spans="1:14" ht="90" x14ac:dyDescent="0.2">
      <c r="A10" s="1" t="s">
        <v>116</v>
      </c>
      <c r="B10" s="1" t="s">
        <v>173</v>
      </c>
      <c r="C10" s="1">
        <v>120</v>
      </c>
      <c r="D10" s="1">
        <v>14</v>
      </c>
      <c r="E10" s="1">
        <v>1</v>
      </c>
      <c r="F10" s="1">
        <v>14</v>
      </c>
      <c r="G10" s="2" t="s">
        <v>171</v>
      </c>
      <c r="H10" s="1">
        <v>3.5</v>
      </c>
      <c r="I10" s="1">
        <v>7</v>
      </c>
      <c r="J10" s="1">
        <v>10</v>
      </c>
      <c r="K10" s="1">
        <v>5</v>
      </c>
      <c r="L10" s="1">
        <v>70</v>
      </c>
      <c r="M10" s="1">
        <v>35</v>
      </c>
      <c r="N10" s="1"/>
    </row>
    <row r="11" spans="1:14" ht="60" x14ac:dyDescent="0.2">
      <c r="A11" s="1" t="s">
        <v>117</v>
      </c>
      <c r="B11" s="1" t="s">
        <v>135</v>
      </c>
      <c r="C11" s="1">
        <v>52.5</v>
      </c>
      <c r="D11" s="1">
        <v>10</v>
      </c>
      <c r="E11" s="1">
        <v>1</v>
      </c>
      <c r="F11" s="1">
        <v>10</v>
      </c>
      <c r="G11" s="2" t="s">
        <v>167</v>
      </c>
      <c r="H11" s="1">
        <v>10.66</v>
      </c>
      <c r="I11" s="1">
        <v>32</v>
      </c>
      <c r="J11" s="1">
        <v>9</v>
      </c>
      <c r="K11" s="1">
        <v>0</v>
      </c>
      <c r="L11" s="1">
        <v>288</v>
      </c>
      <c r="M11" s="1">
        <v>0</v>
      </c>
      <c r="N11" s="1"/>
    </row>
    <row r="12" spans="1:14" ht="150" x14ac:dyDescent="0.2">
      <c r="A12" s="1" t="s">
        <v>117</v>
      </c>
      <c r="B12" s="1" t="s">
        <v>147</v>
      </c>
      <c r="C12" s="1">
        <v>45</v>
      </c>
      <c r="D12" s="1">
        <v>13</v>
      </c>
      <c r="E12" s="1">
        <v>1</v>
      </c>
      <c r="F12" s="1">
        <v>13</v>
      </c>
      <c r="G12" s="2" t="s">
        <v>169</v>
      </c>
      <c r="H12" s="1">
        <v>9.33</v>
      </c>
      <c r="I12" s="1">
        <v>19</v>
      </c>
      <c r="J12" s="1">
        <v>20.8</v>
      </c>
      <c r="K12" s="1">
        <v>0</v>
      </c>
      <c r="L12" s="1">
        <v>395</v>
      </c>
      <c r="M12" s="1">
        <v>0</v>
      </c>
      <c r="N12" s="3" t="s">
        <v>168</v>
      </c>
    </row>
    <row r="13" spans="1:14" ht="60" x14ac:dyDescent="0.2">
      <c r="A13" s="1" t="s">
        <v>117</v>
      </c>
      <c r="B13" s="1" t="s">
        <v>148</v>
      </c>
      <c r="C13" s="1">
        <v>45</v>
      </c>
      <c r="D13" s="1">
        <v>12</v>
      </c>
      <c r="E13" s="1">
        <v>2.5</v>
      </c>
      <c r="F13" s="1">
        <v>4.8</v>
      </c>
      <c r="G13" s="2" t="s">
        <v>169</v>
      </c>
      <c r="H13" s="1">
        <v>3.73</v>
      </c>
      <c r="I13" s="1">
        <v>22</v>
      </c>
      <c r="J13" s="1">
        <v>22.5</v>
      </c>
      <c r="K13" s="1">
        <v>0</v>
      </c>
      <c r="L13" s="1">
        <v>495</v>
      </c>
      <c r="M13" s="1">
        <v>0</v>
      </c>
      <c r="N13" s="1"/>
    </row>
    <row r="14" spans="1:14" ht="30" x14ac:dyDescent="0.2">
      <c r="A14" s="1" t="s">
        <v>117</v>
      </c>
      <c r="B14" s="1" t="s">
        <v>138</v>
      </c>
      <c r="C14" s="1">
        <v>52.5</v>
      </c>
      <c r="D14" s="1">
        <v>8</v>
      </c>
      <c r="E14" s="1">
        <v>1.5</v>
      </c>
      <c r="F14" s="1">
        <v>5.33</v>
      </c>
      <c r="G14" s="2" t="s">
        <v>169</v>
      </c>
      <c r="H14" s="1">
        <v>5.33</v>
      </c>
      <c r="I14" s="1">
        <v>32</v>
      </c>
      <c r="J14" s="1">
        <v>30</v>
      </c>
      <c r="K14" s="1">
        <v>0</v>
      </c>
      <c r="L14" s="1">
        <v>960</v>
      </c>
      <c r="M14" s="1">
        <v>0</v>
      </c>
      <c r="N14" s="1"/>
    </row>
    <row r="15" spans="1:14" ht="75" x14ac:dyDescent="0.2">
      <c r="A15" s="1" t="s">
        <v>117</v>
      </c>
      <c r="B15" s="1" t="s">
        <v>172</v>
      </c>
      <c r="C15" s="1">
        <v>120</v>
      </c>
      <c r="D15" s="1">
        <v>10</v>
      </c>
      <c r="E15" s="1">
        <v>1</v>
      </c>
      <c r="F15" s="1">
        <v>10</v>
      </c>
      <c r="G15" s="2" t="s">
        <v>171</v>
      </c>
      <c r="H15" s="1">
        <v>3.5</v>
      </c>
      <c r="I15" s="1">
        <v>10</v>
      </c>
      <c r="J15" s="1">
        <v>10</v>
      </c>
      <c r="K15" s="1">
        <v>5</v>
      </c>
      <c r="L15" s="1">
        <v>100</v>
      </c>
      <c r="M15" s="1">
        <v>50</v>
      </c>
      <c r="N15" s="1"/>
    </row>
    <row r="16" spans="1:14" ht="90" x14ac:dyDescent="0.2">
      <c r="A16" s="1" t="s">
        <v>117</v>
      </c>
      <c r="B16" s="1" t="s">
        <v>173</v>
      </c>
      <c r="C16" s="1">
        <v>120</v>
      </c>
      <c r="D16" s="1">
        <v>14</v>
      </c>
      <c r="E16" s="1">
        <v>1</v>
      </c>
      <c r="F16" s="1">
        <v>14</v>
      </c>
      <c r="G16" s="2" t="s">
        <v>171</v>
      </c>
      <c r="H16" s="1">
        <v>3.5</v>
      </c>
      <c r="I16" s="1">
        <v>7</v>
      </c>
      <c r="J16" s="1">
        <v>10</v>
      </c>
      <c r="K16" s="1">
        <v>5</v>
      </c>
      <c r="L16" s="1">
        <v>70</v>
      </c>
      <c r="M16" s="1">
        <v>35</v>
      </c>
      <c r="N16" s="1"/>
    </row>
    <row r="17" spans="1:14" ht="60" x14ac:dyDescent="0.2">
      <c r="A17" s="1" t="s">
        <v>118</v>
      </c>
      <c r="B17" s="1" t="s">
        <v>135</v>
      </c>
      <c r="C17" s="1">
        <v>52.5</v>
      </c>
      <c r="D17" s="1">
        <v>10</v>
      </c>
      <c r="E17" s="1">
        <v>1</v>
      </c>
      <c r="F17" s="1">
        <v>10</v>
      </c>
      <c r="G17" s="2" t="s">
        <v>167</v>
      </c>
      <c r="H17" s="1">
        <v>10.66</v>
      </c>
      <c r="I17" s="1">
        <v>32</v>
      </c>
      <c r="J17" s="1">
        <v>9</v>
      </c>
      <c r="K17" s="1">
        <v>0</v>
      </c>
      <c r="L17" s="1">
        <v>288</v>
      </c>
      <c r="M17" s="1">
        <v>0</v>
      </c>
      <c r="N17" s="1"/>
    </row>
    <row r="18" spans="1:14" ht="150" x14ac:dyDescent="0.2">
      <c r="A18" s="1" t="s">
        <v>118</v>
      </c>
      <c r="B18" s="1" t="s">
        <v>148</v>
      </c>
      <c r="C18" s="1">
        <v>45</v>
      </c>
      <c r="D18" s="1">
        <v>12</v>
      </c>
      <c r="E18" s="1">
        <v>2.5</v>
      </c>
      <c r="F18" s="1">
        <v>4.8</v>
      </c>
      <c r="G18" s="2" t="s">
        <v>169</v>
      </c>
      <c r="H18" s="1">
        <v>3.73</v>
      </c>
      <c r="I18" s="1">
        <v>22</v>
      </c>
      <c r="J18" s="1">
        <v>12</v>
      </c>
      <c r="K18" s="1">
        <v>0</v>
      </c>
      <c r="L18" s="1">
        <v>264</v>
      </c>
      <c r="M18" s="1">
        <v>0</v>
      </c>
      <c r="N18" s="1" t="s">
        <v>174</v>
      </c>
    </row>
    <row r="19" spans="1:14" ht="30" x14ac:dyDescent="0.2">
      <c r="A19" s="1" t="s">
        <v>118</v>
      </c>
      <c r="B19" s="1" t="s">
        <v>138</v>
      </c>
      <c r="C19" s="1">
        <v>52.5</v>
      </c>
      <c r="D19" s="1">
        <v>8</v>
      </c>
      <c r="E19" s="1">
        <v>1.5</v>
      </c>
      <c r="F19" s="1">
        <v>5.33</v>
      </c>
      <c r="G19" s="2" t="s">
        <v>169</v>
      </c>
      <c r="H19" s="1">
        <v>5.33</v>
      </c>
      <c r="I19" s="1">
        <v>32</v>
      </c>
      <c r="J19" s="1">
        <v>12</v>
      </c>
      <c r="K19" s="1">
        <v>0</v>
      </c>
      <c r="L19" s="1">
        <v>384</v>
      </c>
      <c r="M19" s="1">
        <v>0</v>
      </c>
      <c r="N19" s="1"/>
    </row>
    <row r="20" spans="1:14" ht="75" x14ac:dyDescent="0.2">
      <c r="A20" s="1" t="s">
        <v>118</v>
      </c>
      <c r="B20" s="1" t="s">
        <v>172</v>
      </c>
      <c r="C20" s="1">
        <v>120</v>
      </c>
      <c r="D20" s="1">
        <v>10</v>
      </c>
      <c r="E20" s="1">
        <v>1</v>
      </c>
      <c r="F20" s="1">
        <v>10</v>
      </c>
      <c r="G20" s="2" t="s">
        <v>171</v>
      </c>
      <c r="H20" s="1">
        <v>3.5</v>
      </c>
      <c r="I20" s="1">
        <v>10</v>
      </c>
      <c r="J20" s="1">
        <v>10</v>
      </c>
      <c r="K20" s="1">
        <v>5</v>
      </c>
      <c r="L20" s="1">
        <v>100</v>
      </c>
      <c r="M20" s="1">
        <v>50</v>
      </c>
      <c r="N20" s="1"/>
    </row>
    <row r="21" spans="1:14" ht="90" x14ac:dyDescent="0.2">
      <c r="A21" s="1" t="s">
        <v>118</v>
      </c>
      <c r="B21" s="1" t="s">
        <v>173</v>
      </c>
      <c r="C21" s="1">
        <v>120</v>
      </c>
      <c r="D21" s="1">
        <v>14</v>
      </c>
      <c r="E21" s="1">
        <v>1</v>
      </c>
      <c r="F21" s="1">
        <v>14</v>
      </c>
      <c r="G21" s="2" t="s">
        <v>171</v>
      </c>
      <c r="H21" s="1">
        <v>3.5</v>
      </c>
      <c r="I21" s="1">
        <v>7</v>
      </c>
      <c r="J21" s="1">
        <v>10</v>
      </c>
      <c r="K21" s="1">
        <v>5</v>
      </c>
      <c r="L21" s="1">
        <v>70</v>
      </c>
      <c r="M21" s="1">
        <v>35</v>
      </c>
      <c r="N21" s="1"/>
    </row>
    <row r="22" spans="1:14" x14ac:dyDescent="0.2">
      <c r="A22" s="1"/>
      <c r="B22" s="1"/>
      <c r="C22" s="1"/>
      <c r="D22" s="1"/>
      <c r="E22" s="1"/>
      <c r="F22" s="1"/>
      <c r="G22" s="1"/>
      <c r="H22" s="1"/>
      <c r="I22" s="1"/>
      <c r="J22" s="1"/>
      <c r="K22" s="1"/>
      <c r="L22" s="1"/>
      <c r="M22" s="1"/>
      <c r="N22" s="1"/>
    </row>
    <row r="23" spans="1:14" x14ac:dyDescent="0.2">
      <c r="A23" s="1"/>
      <c r="B23" s="1"/>
      <c r="C23" s="1"/>
      <c r="D23" s="1"/>
      <c r="E23" s="1"/>
      <c r="F23" s="1"/>
      <c r="G23" s="1"/>
      <c r="H23" s="1"/>
      <c r="I23" s="1"/>
      <c r="J23" s="1"/>
      <c r="K23" s="1"/>
      <c r="L23" s="1"/>
      <c r="M23" s="1"/>
      <c r="N23" s="1"/>
    </row>
  </sheetData>
  <sheetProtection algorithmName="SHA-512" hashValue="g0mz2nnV0oCIHUycPrF8lUD4uLb++xReOVdR1CFyzjonGwyuGz01fJlSjqtSbZWbbZfs6rtHjZQvhtQ/P5hu4A==" saltValue="pS2WR/SZ0a7ESr24eG6glg==" spinCount="100000" sheet="1" objects="1" scenarios="1"/>
  <mergeCells count="1">
    <mergeCell ref="A1:M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D661A-C4DB-420A-887A-1CE0A043D1A3}">
  <dimension ref="A1:N24"/>
  <sheetViews>
    <sheetView workbookViewId="0">
      <selection activeCell="D5" sqref="D5"/>
    </sheetView>
  </sheetViews>
  <sheetFormatPr defaultColWidth="8.796875" defaultRowHeight="15" x14ac:dyDescent="0.2"/>
  <cols>
    <col min="2" max="2" width="15.69921875" customWidth="1"/>
    <col min="3" max="3" width="11.796875" hidden="1" customWidth="1"/>
    <col min="6" max="7" width="10.796875" customWidth="1"/>
    <col min="8" max="8" width="8.796875" hidden="1" customWidth="1"/>
    <col min="9" max="9" width="10.09765625" customWidth="1"/>
    <col min="10" max="10" width="10.8984375" customWidth="1"/>
    <col min="11" max="11" width="10.296875" customWidth="1"/>
    <col min="12" max="12" width="11.19921875" customWidth="1"/>
    <col min="13" max="13" width="13.296875" customWidth="1"/>
    <col min="14" max="14" width="17.796875" customWidth="1"/>
  </cols>
  <sheetData>
    <row r="1" spans="1:14" ht="15" customHeight="1" x14ac:dyDescent="0.2">
      <c r="A1" s="287" t="s">
        <v>175</v>
      </c>
      <c r="B1" s="287"/>
      <c r="C1" s="287"/>
      <c r="D1" s="287"/>
      <c r="E1" s="287"/>
      <c r="F1" s="287"/>
      <c r="G1" s="287"/>
      <c r="H1" s="287"/>
      <c r="I1" s="287"/>
      <c r="J1" s="287"/>
      <c r="K1" s="287"/>
      <c r="L1" s="287"/>
      <c r="M1" s="287"/>
      <c r="N1" s="1"/>
    </row>
    <row r="2" spans="1:14" x14ac:dyDescent="0.2">
      <c r="A2" s="287"/>
      <c r="B2" s="287"/>
      <c r="C2" s="287"/>
      <c r="D2" s="287"/>
      <c r="E2" s="287"/>
      <c r="F2" s="287"/>
      <c r="G2" s="287"/>
      <c r="H2" s="287"/>
      <c r="I2" s="287"/>
      <c r="J2" s="287"/>
      <c r="K2" s="287"/>
      <c r="L2" s="287"/>
      <c r="M2" s="287"/>
      <c r="N2" s="1"/>
    </row>
    <row r="3" spans="1:14" x14ac:dyDescent="0.2">
      <c r="A3" s="287"/>
      <c r="B3" s="287"/>
      <c r="C3" s="287"/>
      <c r="D3" s="287"/>
      <c r="E3" s="287"/>
      <c r="F3" s="287"/>
      <c r="G3" s="287"/>
      <c r="H3" s="287"/>
      <c r="I3" s="287"/>
      <c r="J3" s="287"/>
      <c r="K3" s="287"/>
      <c r="L3" s="287"/>
      <c r="M3" s="287"/>
      <c r="N3" s="1"/>
    </row>
    <row r="4" spans="1:14" x14ac:dyDescent="0.2">
      <c r="A4" s="22"/>
      <c r="B4" s="22"/>
      <c r="C4" s="22"/>
      <c r="D4" s="22"/>
      <c r="E4" s="22"/>
      <c r="F4" s="22"/>
      <c r="G4" s="22"/>
      <c r="H4" s="22"/>
      <c r="I4" s="22"/>
      <c r="J4" s="22"/>
      <c r="K4" s="22"/>
      <c r="L4" s="22"/>
      <c r="M4" s="22"/>
      <c r="N4" s="1"/>
    </row>
    <row r="5" spans="1:14" ht="90" x14ac:dyDescent="0.2">
      <c r="A5" s="1" t="s">
        <v>154</v>
      </c>
      <c r="B5" s="1" t="s">
        <v>120</v>
      </c>
      <c r="C5" s="1" t="s">
        <v>176</v>
      </c>
      <c r="D5" s="1" t="s">
        <v>156</v>
      </c>
      <c r="E5" s="1" t="s">
        <v>157</v>
      </c>
      <c r="F5" s="1" t="s">
        <v>158</v>
      </c>
      <c r="G5" s="1" t="s">
        <v>177</v>
      </c>
      <c r="H5" s="1" t="s">
        <v>159</v>
      </c>
      <c r="I5" s="1" t="s">
        <v>160</v>
      </c>
      <c r="J5" s="1" t="s">
        <v>162</v>
      </c>
      <c r="K5" s="1" t="s">
        <v>163</v>
      </c>
      <c r="L5" s="24" t="s">
        <v>178</v>
      </c>
      <c r="M5" s="24" t="s">
        <v>179</v>
      </c>
      <c r="N5" s="25" t="s">
        <v>166</v>
      </c>
    </row>
    <row r="6" spans="1:14" ht="30" x14ac:dyDescent="0.2">
      <c r="A6" s="1" t="s">
        <v>116</v>
      </c>
      <c r="B6" s="1" t="s">
        <v>134</v>
      </c>
      <c r="C6" s="1">
        <f>40/60</f>
        <v>0.66666666666666663</v>
      </c>
      <c r="D6" s="26">
        <v>10</v>
      </c>
      <c r="E6" s="26">
        <v>1.25</v>
      </c>
      <c r="F6" s="26">
        <f>Calculations_Edu[[#This Row],[Average Sessions/Cycle]]/Calculations_Edu[[#This Row],[Average Sess/Week]]</f>
        <v>8</v>
      </c>
      <c r="G6" s="1">
        <f>ROUND(30/Calculations_Edu[[#This Row],[Average Cycle Completion in Weeks]], 0)</f>
        <v>4</v>
      </c>
      <c r="H6" s="2" t="s">
        <v>167</v>
      </c>
      <c r="I6" s="1">
        <v>12</v>
      </c>
      <c r="J6" s="1">
        <v>25</v>
      </c>
      <c r="K6" s="1">
        <v>0</v>
      </c>
      <c r="L6" s="1">
        <f>ROUND(Calculations_Edu[[#This Row],[Average Number of Total Cycles per Year (Round up)]]*Calculations_Edu[[#This Row],[Average Concurrent Cycles]]*Calculations_Edu[[#This Row],[Average Youth/Cycle]], 0)</f>
        <v>1200</v>
      </c>
      <c r="M6" s="1">
        <f>ROUND(Calculations_Edu[[#This Row],[Average Number of Total Cycles per Year (Round up)]]*Calculations_Edu[[#This Row],[Average Concurrent Cycles]]*Calculations_Edu[[#This Row],[Average Adult/Cycle]], 0)</f>
        <v>0</v>
      </c>
      <c r="N6" s="25"/>
    </row>
    <row r="7" spans="1:14" x14ac:dyDescent="0.2">
      <c r="A7" s="1" t="s">
        <v>116</v>
      </c>
      <c r="B7" s="1" t="s">
        <v>136</v>
      </c>
      <c r="C7" s="1">
        <f>41.66/60</f>
        <v>0.69433333333333325</v>
      </c>
      <c r="D7" s="1">
        <v>11</v>
      </c>
      <c r="E7" s="1">
        <v>1.25</v>
      </c>
      <c r="F7" s="26">
        <f>Calculations_Edu[[#This Row],[Average Sessions/Cycle]]/Calculations_Edu[[#This Row],[Average Sess/Week]]</f>
        <v>8.8000000000000007</v>
      </c>
      <c r="G7" s="1">
        <f>ROUND(30/Calculations_Edu[[#This Row],[Average Cycle Completion in Weeks]], 0)</f>
        <v>3</v>
      </c>
      <c r="H7" s="2" t="s">
        <v>167</v>
      </c>
      <c r="I7" s="1">
        <v>12</v>
      </c>
      <c r="J7" s="1">
        <v>25</v>
      </c>
      <c r="K7" s="1">
        <v>0</v>
      </c>
      <c r="L7" s="1">
        <f>ROUND(Calculations_Edu[[#This Row],[Average Number of Total Cycles per Year (Round up)]]*Calculations_Edu[[#This Row],[Average Concurrent Cycles]]*Calculations_Edu[[#This Row],[Average Youth/Cycle]], 0)</f>
        <v>900</v>
      </c>
      <c r="M7" s="1">
        <f>ROUND(Calculations_Edu[[#This Row],[Average Number of Total Cycles per Year (Round up)]]*Calculations_Edu[[#This Row],[Average Concurrent Cycles]]*Calculations_Edu[[#This Row],[Average Adult/Cycle]], 0)</f>
        <v>0</v>
      </c>
      <c r="N7" s="1"/>
    </row>
    <row r="8" spans="1:14" x14ac:dyDescent="0.2">
      <c r="A8" s="1" t="s">
        <v>116</v>
      </c>
      <c r="B8" s="1" t="s">
        <v>138</v>
      </c>
      <c r="C8" s="1">
        <f>52.5/60</f>
        <v>0.875</v>
      </c>
      <c r="D8" s="1">
        <v>9</v>
      </c>
      <c r="E8" s="1">
        <v>1.25</v>
      </c>
      <c r="F8" s="26">
        <f>Calculations_Edu[[#This Row],[Average Sessions/Cycle]]/Calculations_Edu[[#This Row],[Average Sess/Week]]</f>
        <v>7.2</v>
      </c>
      <c r="G8" s="1">
        <f>ROUND(30/Calculations_Edu[[#This Row],[Average Cycle Completion in Weeks]], 0)</f>
        <v>4</v>
      </c>
      <c r="H8" s="2" t="s">
        <v>169</v>
      </c>
      <c r="I8" s="1">
        <v>12</v>
      </c>
      <c r="J8" s="1">
        <v>25</v>
      </c>
      <c r="K8" s="1">
        <v>0</v>
      </c>
      <c r="L8" s="1">
        <f>ROUND(Calculations_Edu[[#This Row],[Average Number of Total Cycles per Year (Round up)]]*Calculations_Edu[[#This Row],[Average Concurrent Cycles]]*Calculations_Edu[[#This Row],[Average Youth/Cycle]], 0)</f>
        <v>1200</v>
      </c>
      <c r="M8" s="1">
        <f>ROUND(Calculations_Edu[[#This Row],[Average Number of Total Cycles per Year (Round up)]]*Calculations_Edu[[#This Row],[Average Concurrent Cycles]]*Calculations_Edu[[#This Row],[Average Adult/Cycle]], 0)</f>
        <v>0</v>
      </c>
      <c r="N8" s="3"/>
    </row>
    <row r="9" spans="1:14" ht="36.950000000000003" customHeight="1" x14ac:dyDescent="0.2">
      <c r="A9" s="1" t="s">
        <v>116</v>
      </c>
      <c r="B9" s="1" t="s">
        <v>127</v>
      </c>
      <c r="C9" s="1">
        <f>75/60</f>
        <v>1.25</v>
      </c>
      <c r="D9" s="1">
        <v>6</v>
      </c>
      <c r="E9" s="1">
        <v>1</v>
      </c>
      <c r="F9" s="26">
        <f>Calculations_Edu[[#This Row],[Average Sessions/Cycle]]/Calculations_Edu[[#This Row],[Average Sess/Week]]</f>
        <v>6</v>
      </c>
      <c r="G9" s="1">
        <f>ROUND(42/Calculations_Edu[[#This Row],[Average Cycle Completion in Weeks]], 0)</f>
        <v>7</v>
      </c>
      <c r="H9" s="2" t="s">
        <v>171</v>
      </c>
      <c r="I9" s="1">
        <v>2.25</v>
      </c>
      <c r="J9" s="1">
        <v>0</v>
      </c>
      <c r="K9" s="1">
        <v>13</v>
      </c>
      <c r="L9" s="1">
        <f>ROUND(Calculations_Edu[[#This Row],[Average Number of Total Cycles per Year (Round up)]]*Calculations_Edu[[#This Row],[Average Concurrent Cycles]]*Calculations_Edu[[#This Row],[Average Youth/Cycle]], 0)</f>
        <v>0</v>
      </c>
      <c r="M9" s="1">
        <f>ROUND(Calculations_Edu[[#This Row],[Average Number of Total Cycles per Year (Round up)]]*Calculations_Edu[[#This Row],[Average Concurrent Cycles]]*Calculations_Edu[[#This Row],[Average Adult/Cycle]], 0)/2</f>
        <v>102.5</v>
      </c>
      <c r="N9" s="3"/>
    </row>
    <row r="10" spans="1:14" x14ac:dyDescent="0.2">
      <c r="A10" s="1" t="s">
        <v>116</v>
      </c>
      <c r="B10" s="1" t="s">
        <v>137</v>
      </c>
      <c r="C10" s="1">
        <f>120/60</f>
        <v>2</v>
      </c>
      <c r="D10" s="1">
        <v>10</v>
      </c>
      <c r="E10" s="1">
        <v>1</v>
      </c>
      <c r="F10" s="26">
        <f>Calculations_Edu[[#This Row],[Average Sessions/Cycle]]/Calculations_Edu[[#This Row],[Average Sess/Week]]</f>
        <v>10</v>
      </c>
      <c r="G10" s="1">
        <f>ROUND(42/Calculations_Edu[[#This Row],[Average Cycle Completion in Weeks]], 0)</f>
        <v>4</v>
      </c>
      <c r="H10" s="2" t="s">
        <v>171</v>
      </c>
      <c r="I10" s="1">
        <v>2.25</v>
      </c>
      <c r="J10" s="1">
        <v>10</v>
      </c>
      <c r="K10" s="1">
        <v>7.5</v>
      </c>
      <c r="L10" s="1">
        <f>ROUND(Calculations_Edu[[#This Row],[Average Number of Total Cycles per Year (Round up)]]*Calculations_Edu[[#This Row],[Average Concurrent Cycles]]*Calculations_Edu[[#This Row],[Average Youth/Cycle]], 0)/2</f>
        <v>45</v>
      </c>
      <c r="M10" s="1">
        <f>ROUND(Calculations_Edu[[#This Row],[Average Number of Total Cycles per Year (Round up)]]*Calculations_Edu[[#This Row],[Average Concurrent Cycles]]*Calculations_Edu[[#This Row],[Average Adult/Cycle]], 0)/2</f>
        <v>34</v>
      </c>
      <c r="N10" s="1"/>
    </row>
    <row r="11" spans="1:14" x14ac:dyDescent="0.2">
      <c r="A11" s="1" t="s">
        <v>116</v>
      </c>
      <c r="B11" s="1" t="s">
        <v>139</v>
      </c>
      <c r="C11" s="1">
        <f>120/60</f>
        <v>2</v>
      </c>
      <c r="D11" s="1">
        <v>14</v>
      </c>
      <c r="E11" s="1">
        <v>1</v>
      </c>
      <c r="F11" s="26">
        <f>Calculations_Edu[[#This Row],[Average Sessions/Cycle]]/Calculations_Edu[[#This Row],[Average Sess/Week]]</f>
        <v>14</v>
      </c>
      <c r="G11" s="1">
        <f>ROUND(42/Calculations_Edu[[#This Row],[Average Cycle Completion in Weeks]], 0)</f>
        <v>3</v>
      </c>
      <c r="H11" s="2" t="s">
        <v>171</v>
      </c>
      <c r="I11" s="1">
        <v>2.25</v>
      </c>
      <c r="J11" s="1">
        <v>10</v>
      </c>
      <c r="K11" s="1">
        <v>7.5</v>
      </c>
      <c r="L11" s="1">
        <f>ROUND(Calculations_Edu[[#This Row],[Average Number of Total Cycles per Year (Round up)]]*Calculations_Edu[[#This Row],[Average Concurrent Cycles]]*Calculations_Edu[[#This Row],[Average Youth/Cycle]], 0)/2</f>
        <v>34</v>
      </c>
      <c r="M11" s="1">
        <f>ROUND(Calculations_Edu[[#This Row],[Average Number of Total Cycles per Year (Round up)]]*Calculations_Edu[[#This Row],[Average Concurrent Cycles]]*Calculations_Edu[[#This Row],[Average Adult/Cycle]], 0)/2</f>
        <v>25.5</v>
      </c>
      <c r="N11" s="1"/>
    </row>
    <row r="12" spans="1:14" x14ac:dyDescent="0.2">
      <c r="A12" s="1" t="s">
        <v>117</v>
      </c>
      <c r="B12" s="1" t="s">
        <v>129</v>
      </c>
      <c r="C12" s="1">
        <f>60/60</f>
        <v>1</v>
      </c>
      <c r="D12" s="1">
        <v>6</v>
      </c>
      <c r="E12" s="1">
        <v>1.25</v>
      </c>
      <c r="F12" s="26">
        <f>Calculations_Edu[[#This Row],[Average Sessions/Cycle]]/Calculations_Edu[[#This Row],[Average Sess/Week]]</f>
        <v>4.8</v>
      </c>
      <c r="G12" s="1">
        <f>ROUND(30/Calculations_Edu[[#This Row],[Average Cycle Completion in Weeks]], 0)</f>
        <v>6</v>
      </c>
      <c r="H12" s="2" t="s">
        <v>167</v>
      </c>
      <c r="I12" s="1">
        <v>12</v>
      </c>
      <c r="J12" s="1">
        <v>6</v>
      </c>
      <c r="K12" s="1">
        <v>0</v>
      </c>
      <c r="L12" s="1">
        <f>ROUND(Calculations_Edu[[#This Row],[Average Number of Total Cycles per Year (Round up)]]*Calculations_Edu[[#This Row],[Average Concurrent Cycles]]*Calculations_Edu[[#This Row],[Average Youth/Cycle]], 0)</f>
        <v>432</v>
      </c>
      <c r="M12" s="1">
        <f>ROUND(Calculations_Edu[[#This Row],[Average Number of Total Cycles per Year (Round up)]]*Calculations_Edu[[#This Row],[Average Concurrent Cycles]]*Calculations_Edu[[#This Row],[Average Adult/Cycle]], 0)</f>
        <v>0</v>
      </c>
      <c r="N12" s="1"/>
    </row>
    <row r="13" spans="1:14" ht="30" x14ac:dyDescent="0.2">
      <c r="A13" s="1" t="s">
        <v>117</v>
      </c>
      <c r="B13" s="1" t="s">
        <v>135</v>
      </c>
      <c r="C13" s="1">
        <f>52.5/60</f>
        <v>0.875</v>
      </c>
      <c r="D13" s="1">
        <v>10</v>
      </c>
      <c r="E13" s="1">
        <v>1.25</v>
      </c>
      <c r="F13" s="26">
        <f>Calculations_Edu[[#This Row],[Average Sessions/Cycle]]/Calculations_Edu[[#This Row],[Average Sess/Week]]</f>
        <v>8</v>
      </c>
      <c r="G13" s="1">
        <f>ROUND(30/Calculations_Edu[[#This Row],[Average Cycle Completion in Weeks]], 0)</f>
        <v>4</v>
      </c>
      <c r="H13" s="2" t="s">
        <v>167</v>
      </c>
      <c r="I13" s="1">
        <v>12</v>
      </c>
      <c r="J13" s="1">
        <v>9</v>
      </c>
      <c r="K13" s="1">
        <v>0</v>
      </c>
      <c r="L13" s="1">
        <f>ROUND(Calculations_Edu[[#This Row],[Average Number of Total Cycles per Year (Round up)]]*Calculations_Edu[[#This Row],[Average Concurrent Cycles]]*Calculations_Edu[[#This Row],[Average Youth/Cycle]], 0)</f>
        <v>432</v>
      </c>
      <c r="M13" s="1">
        <f>ROUND(Calculations_Edu[[#This Row],[Average Number of Total Cycles per Year (Round up)]]*Calculations_Edu[[#This Row],[Average Concurrent Cycles]]*Calculations_Edu[[#This Row],[Average Adult/Cycle]], 0)</f>
        <v>0</v>
      </c>
      <c r="N13" s="1"/>
    </row>
    <row r="14" spans="1:14" ht="30" x14ac:dyDescent="0.2">
      <c r="A14" s="1" t="s">
        <v>117</v>
      </c>
      <c r="B14" s="1" t="s">
        <v>134</v>
      </c>
      <c r="C14" s="25">
        <f>40/60</f>
        <v>0.66666666666666663</v>
      </c>
      <c r="D14" s="26">
        <v>10</v>
      </c>
      <c r="E14" s="26">
        <v>1.25</v>
      </c>
      <c r="F14" s="26">
        <f>Calculations_Edu[[#This Row],[Average Sessions/Cycle]]/Calculations_Edu[[#This Row],[Average Sess/Week]]</f>
        <v>8</v>
      </c>
      <c r="G14" s="1">
        <f>ROUND(30/Calculations_Edu[[#This Row],[Average Cycle Completion in Weeks]], 0)</f>
        <v>4</v>
      </c>
      <c r="H14" s="2"/>
      <c r="I14" s="1">
        <v>12</v>
      </c>
      <c r="J14" s="1">
        <v>20</v>
      </c>
      <c r="K14" s="1">
        <v>0</v>
      </c>
      <c r="L14" s="1">
        <f>ROUND(Calculations_Edu[[#This Row],[Average Number of Total Cycles per Year (Round up)]]*Calculations_Edu[[#This Row],[Average Concurrent Cycles]]*Calculations_Edu[[#This Row],[Average Youth/Cycle]], 0)</f>
        <v>960</v>
      </c>
      <c r="M14" s="1">
        <f>ROUND(Calculations_Edu[[#This Row],[Average Number of Total Cycles per Year (Round up)]]*Calculations_Edu[[#This Row],[Average Concurrent Cycles]]*Calculations_Edu[[#This Row],[Average Adult/Cycle]], 0)</f>
        <v>0</v>
      </c>
      <c r="N14" s="25"/>
    </row>
    <row r="15" spans="1:14" x14ac:dyDescent="0.2">
      <c r="A15" s="1" t="s">
        <v>117</v>
      </c>
      <c r="B15" s="1" t="s">
        <v>138</v>
      </c>
      <c r="C15" s="1">
        <f>52.5/60</f>
        <v>0.875</v>
      </c>
      <c r="D15" s="1">
        <v>9</v>
      </c>
      <c r="E15" s="1">
        <v>1.25</v>
      </c>
      <c r="F15" s="26">
        <f>Calculations_Edu[[#This Row],[Average Sessions/Cycle]]/Calculations_Edu[[#This Row],[Average Sess/Week]]</f>
        <v>7.2</v>
      </c>
      <c r="G15" s="1">
        <f>ROUND(30/Calculations_Edu[[#This Row],[Average Cycle Completion in Weeks]], 0)</f>
        <v>4</v>
      </c>
      <c r="H15" s="2" t="s">
        <v>169</v>
      </c>
      <c r="I15" s="1">
        <v>12</v>
      </c>
      <c r="J15" s="1">
        <v>20</v>
      </c>
      <c r="K15" s="1">
        <v>0</v>
      </c>
      <c r="L15" s="1">
        <f>ROUND(Calculations_Edu[[#This Row],[Average Number of Total Cycles per Year (Round up)]]*Calculations_Edu[[#This Row],[Average Concurrent Cycles]]*Calculations_Edu[[#This Row],[Average Youth/Cycle]], 0)</f>
        <v>960</v>
      </c>
      <c r="M15" s="1">
        <f>ROUND(Calculations_Edu[[#This Row],[Average Number of Total Cycles per Year (Round up)]]*Calculations_Edu[[#This Row],[Average Concurrent Cycles]]*Calculations_Edu[[#This Row],[Average Adult/Cycle]], 0)</f>
        <v>0</v>
      </c>
      <c r="N15" s="1"/>
    </row>
    <row r="16" spans="1:14" x14ac:dyDescent="0.2">
      <c r="A16" s="1" t="s">
        <v>117</v>
      </c>
      <c r="B16" s="1" t="s">
        <v>137</v>
      </c>
      <c r="C16" s="1">
        <f>120/60</f>
        <v>2</v>
      </c>
      <c r="D16" s="1">
        <v>10</v>
      </c>
      <c r="E16" s="1">
        <v>1</v>
      </c>
      <c r="F16" s="26">
        <f>Calculations_Edu[[#This Row],[Average Sessions/Cycle]]/Calculations_Edu[[#This Row],[Average Sess/Week]]</f>
        <v>10</v>
      </c>
      <c r="G16" s="1">
        <f>ROUND(42/Calculations_Edu[[#This Row],[Average Cycle Completion in Weeks]], 0)</f>
        <v>4</v>
      </c>
      <c r="H16" s="2" t="s">
        <v>171</v>
      </c>
      <c r="I16" s="1">
        <v>2.25</v>
      </c>
      <c r="J16" s="1">
        <v>10</v>
      </c>
      <c r="K16" s="1">
        <v>7.5</v>
      </c>
      <c r="L16" s="1">
        <f>ROUND(Calculations_Edu[[#This Row],[Average Number of Total Cycles per Year (Round up)]]*Calculations_Edu[[#This Row],[Average Concurrent Cycles]]*Calculations_Edu[[#This Row],[Average Youth/Cycle]], 0)/2</f>
        <v>45</v>
      </c>
      <c r="M16" s="1">
        <f>ROUND(Calculations_Edu[[#This Row],[Average Number of Total Cycles per Year (Round up)]]*Calculations_Edu[[#This Row],[Average Concurrent Cycles]]*Calculations_Edu[[#This Row],[Average Adult/Cycle]], 0)/2</f>
        <v>34</v>
      </c>
      <c r="N16" s="1"/>
    </row>
    <row r="17" spans="1:14" x14ac:dyDescent="0.2">
      <c r="A17" s="1" t="s">
        <v>117</v>
      </c>
      <c r="B17" s="1" t="s">
        <v>139</v>
      </c>
      <c r="C17" s="1">
        <f>120/60</f>
        <v>2</v>
      </c>
      <c r="D17" s="1">
        <v>14</v>
      </c>
      <c r="E17" s="1">
        <v>1</v>
      </c>
      <c r="F17" s="26">
        <f>Calculations_Edu[[#This Row],[Average Sessions/Cycle]]/Calculations_Edu[[#This Row],[Average Sess/Week]]</f>
        <v>14</v>
      </c>
      <c r="G17" s="1">
        <f>ROUND(42/Calculations_Edu[[#This Row],[Average Cycle Completion in Weeks]], 0)</f>
        <v>3</v>
      </c>
      <c r="H17" s="2" t="s">
        <v>171</v>
      </c>
      <c r="I17" s="1">
        <v>2.25</v>
      </c>
      <c r="J17" s="1">
        <v>10</v>
      </c>
      <c r="K17" s="1">
        <v>7.5</v>
      </c>
      <c r="L17" s="1">
        <f>ROUND(Calculations_Edu[[#This Row],[Average Number of Total Cycles per Year (Round up)]]*Calculations_Edu[[#This Row],[Average Concurrent Cycles]]*Calculations_Edu[[#This Row],[Average Youth/Cycle]], 0)/2</f>
        <v>34</v>
      </c>
      <c r="M17" s="1">
        <f>ROUND(Calculations_Edu[[#This Row],[Average Number of Total Cycles per Year (Round up)]]*Calculations_Edu[[#This Row],[Average Concurrent Cycles]]*Calculations_Edu[[#This Row],[Average Adult/Cycle]], 0)/2</f>
        <v>25.5</v>
      </c>
      <c r="N17" s="1"/>
    </row>
    <row r="18" spans="1:14" x14ac:dyDescent="0.2">
      <c r="A18" s="1" t="s">
        <v>118</v>
      </c>
      <c r="B18" s="1" t="s">
        <v>129</v>
      </c>
      <c r="C18" s="1">
        <f>60/60</f>
        <v>1</v>
      </c>
      <c r="D18" s="1">
        <v>6</v>
      </c>
      <c r="E18" s="1">
        <v>1.25</v>
      </c>
      <c r="F18" s="26">
        <f>Calculations_Edu[[#This Row],[Average Sessions/Cycle]]/Calculations_Edu[[#This Row],[Average Sess/Week]]</f>
        <v>4.8</v>
      </c>
      <c r="G18" s="1">
        <f>ROUND(30/Calculations_Edu[[#This Row],[Average Cycle Completion in Weeks]], 0)</f>
        <v>6</v>
      </c>
      <c r="H18" s="2" t="s">
        <v>167</v>
      </c>
      <c r="I18" s="1">
        <v>12</v>
      </c>
      <c r="J18" s="1">
        <v>6</v>
      </c>
      <c r="K18" s="1">
        <v>0</v>
      </c>
      <c r="L18" s="1">
        <f>ROUND(Calculations_Edu[[#This Row],[Average Number of Total Cycles per Year (Round up)]]*Calculations_Edu[[#This Row],[Average Concurrent Cycles]]*Calculations_Edu[[#This Row],[Average Youth/Cycle]], 0)</f>
        <v>432</v>
      </c>
      <c r="M18" s="1">
        <f>ROUND(Calculations_Edu[[#This Row],[Average Number of Total Cycles per Year (Round up)]]*Calculations_Edu[[#This Row],[Average Concurrent Cycles]]*Calculations_Edu[[#This Row],[Average Adult/Cycle]], 0)</f>
        <v>0</v>
      </c>
      <c r="N18" s="1"/>
    </row>
    <row r="19" spans="1:14" ht="30" x14ac:dyDescent="0.2">
      <c r="A19" s="1" t="s">
        <v>118</v>
      </c>
      <c r="B19" s="1" t="s">
        <v>135</v>
      </c>
      <c r="C19" s="1">
        <f>52.5/60</f>
        <v>0.875</v>
      </c>
      <c r="D19" s="1">
        <v>10</v>
      </c>
      <c r="E19" s="1">
        <v>1.25</v>
      </c>
      <c r="F19" s="26">
        <f>Calculations_Edu[[#This Row],[Average Sessions/Cycle]]/Calculations_Edu[[#This Row],[Average Sess/Week]]</f>
        <v>8</v>
      </c>
      <c r="G19" s="1">
        <f>ROUND(30/Calculations_Edu[[#This Row],[Average Cycle Completion in Weeks]], 0)</f>
        <v>4</v>
      </c>
      <c r="H19" s="2" t="s">
        <v>167</v>
      </c>
      <c r="I19" s="1">
        <v>12</v>
      </c>
      <c r="J19" s="1">
        <v>9</v>
      </c>
      <c r="K19" s="1">
        <v>0</v>
      </c>
      <c r="L19" s="1">
        <f>ROUND(Calculations_Edu[[#This Row],[Average Number of Total Cycles per Year (Round up)]]*Calculations_Edu[[#This Row],[Average Concurrent Cycles]]*Calculations_Edu[[#This Row],[Average Youth/Cycle]], 0)</f>
        <v>432</v>
      </c>
      <c r="M19" s="1">
        <f>ROUND(Calculations_Edu[[#This Row],[Average Number of Total Cycles per Year (Round up)]]*Calculations_Edu[[#This Row],[Average Concurrent Cycles]]*Calculations_Edu[[#This Row],[Average Adult/Cycle]], 0)</f>
        <v>0</v>
      </c>
      <c r="N19" s="1"/>
    </row>
    <row r="20" spans="1:14" x14ac:dyDescent="0.2">
      <c r="A20" s="1" t="s">
        <v>118</v>
      </c>
      <c r="B20" s="1" t="s">
        <v>137</v>
      </c>
      <c r="C20" s="1">
        <f>120/60</f>
        <v>2</v>
      </c>
      <c r="D20" s="1">
        <v>10</v>
      </c>
      <c r="E20" s="1">
        <v>1</v>
      </c>
      <c r="F20" s="26">
        <f>Calculations_Edu[[#This Row],[Average Sessions/Cycle]]/Calculations_Edu[[#This Row],[Average Sess/Week]]</f>
        <v>10</v>
      </c>
      <c r="G20" s="1">
        <f>ROUND(42/Calculations_Edu[[#This Row],[Average Cycle Completion in Weeks]], 0)</f>
        <v>4</v>
      </c>
      <c r="H20" s="2" t="s">
        <v>171</v>
      </c>
      <c r="I20" s="1">
        <v>2.25</v>
      </c>
      <c r="J20" s="1">
        <v>10</v>
      </c>
      <c r="K20" s="1">
        <v>7.5</v>
      </c>
      <c r="L20" s="1">
        <f>ROUND(Calculations_Edu[[#This Row],[Average Number of Total Cycles per Year (Round up)]]*Calculations_Edu[[#This Row],[Average Concurrent Cycles]]*Calculations_Edu[[#This Row],[Average Youth/Cycle]], 0)/2</f>
        <v>45</v>
      </c>
      <c r="M20" s="1">
        <f>ROUND(Calculations_Edu[[#This Row],[Average Number of Total Cycles per Year (Round up)]]*Calculations_Edu[[#This Row],[Average Concurrent Cycles]]*Calculations_Edu[[#This Row],[Average Adult/Cycle]], 0)/2</f>
        <v>34</v>
      </c>
      <c r="N20" s="1"/>
    </row>
    <row r="21" spans="1:14" x14ac:dyDescent="0.2">
      <c r="A21" s="1" t="s">
        <v>118</v>
      </c>
      <c r="B21" s="1" t="s">
        <v>139</v>
      </c>
      <c r="C21" s="1">
        <f>120/60</f>
        <v>2</v>
      </c>
      <c r="D21" s="1">
        <v>14</v>
      </c>
      <c r="E21" s="1">
        <v>1</v>
      </c>
      <c r="F21" s="26">
        <f>Calculations_Edu[[#This Row],[Average Sessions/Cycle]]/Calculations_Edu[[#This Row],[Average Sess/Week]]</f>
        <v>14</v>
      </c>
      <c r="G21" s="1">
        <f>ROUND(42/Calculations_Edu[[#This Row],[Average Cycle Completion in Weeks]], 0)</f>
        <v>3</v>
      </c>
      <c r="H21" s="2" t="s">
        <v>171</v>
      </c>
      <c r="I21" s="1">
        <v>2.25</v>
      </c>
      <c r="J21" s="1">
        <v>10</v>
      </c>
      <c r="K21" s="1">
        <v>7.5</v>
      </c>
      <c r="L21" s="1">
        <f>ROUND(Calculations_Edu[[#This Row],[Average Number of Total Cycles per Year (Round up)]]*Calculations_Edu[[#This Row],[Average Concurrent Cycles]]*Calculations_Edu[[#This Row],[Average Youth/Cycle]], 0)/2</f>
        <v>34</v>
      </c>
      <c r="M21" s="1">
        <f>ROUND(Calculations_Edu[[#This Row],[Average Number of Total Cycles per Year (Round up)]]*Calculations_Edu[[#This Row],[Average Concurrent Cycles]]*Calculations_Edu[[#This Row],[Average Adult/Cycle]], 0)/2</f>
        <v>25.5</v>
      </c>
      <c r="N21" s="1"/>
    </row>
    <row r="22" spans="1:14" x14ac:dyDescent="0.2">
      <c r="A22" s="1"/>
      <c r="B22" s="1"/>
      <c r="C22" s="1"/>
      <c r="D22" s="1"/>
      <c r="E22" s="1"/>
      <c r="F22" s="25"/>
      <c r="G22" s="1"/>
      <c r="H22" s="2"/>
      <c r="I22" s="1"/>
      <c r="J22" s="1"/>
      <c r="K22" s="1"/>
      <c r="L22" s="1"/>
      <c r="M22" s="1"/>
      <c r="N22" s="1"/>
    </row>
    <row r="23" spans="1:14" x14ac:dyDescent="0.2">
      <c r="A23" s="1"/>
      <c r="B23" s="1"/>
      <c r="C23" s="1"/>
      <c r="D23" s="1"/>
      <c r="E23" s="1"/>
      <c r="F23" s="25"/>
      <c r="G23" s="1"/>
      <c r="H23" s="2"/>
      <c r="I23" s="1"/>
      <c r="J23" s="1"/>
      <c r="K23" s="1"/>
      <c r="L23" s="1"/>
      <c r="M23" s="1"/>
      <c r="N23" s="1"/>
    </row>
    <row r="24" spans="1:14" x14ac:dyDescent="0.2">
      <c r="N24" s="1"/>
    </row>
  </sheetData>
  <sheetProtection algorithmName="SHA-512" hashValue="hT5AT4m3uuma1eetekA5rKVpSlZ/oC8ANvMFXE0x26xoRr9iBiDxEvZRZ5jA2/Y5S5NQx/mLAtlOzVFlpYMJow==" saltValue="Vc7OsSGFeYwEwEIWCESlqA==" spinCount="100000" sheet="1" objects="1" scenarios="1"/>
  <mergeCells count="1">
    <mergeCell ref="A1:M3"/>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0EECD-0357-4A81-8777-127B3C159D38}">
  <dimension ref="A1:T255"/>
  <sheetViews>
    <sheetView zoomScale="55" zoomScaleNormal="55" workbookViewId="0">
      <selection activeCell="N31" sqref="N31"/>
    </sheetView>
  </sheetViews>
  <sheetFormatPr defaultColWidth="8.796875" defaultRowHeight="15" x14ac:dyDescent="0.2"/>
  <cols>
    <col min="1" max="1" width="15.69921875" style="23" customWidth="1"/>
    <col min="2" max="2" width="11.796875" hidden="1" customWidth="1"/>
    <col min="3" max="3" width="12.69921875" customWidth="1"/>
    <col min="4" max="4" width="13.5" customWidth="1"/>
    <col min="5" max="5" width="13.3984375" customWidth="1"/>
    <col min="6" max="6" width="12.69921875" customWidth="1"/>
    <col min="7" max="7" width="8.796875" hidden="1" customWidth="1"/>
    <col min="8" max="8" width="11.296875" customWidth="1"/>
    <col min="9" max="9" width="10.8984375" customWidth="1"/>
    <col min="10" max="10" width="10.296875" customWidth="1"/>
    <col min="13" max="13" width="17.8984375" customWidth="1"/>
    <col min="14" max="14" width="13.09765625" customWidth="1"/>
    <col min="15" max="16" width="19.09765625" customWidth="1"/>
    <col min="17" max="17" width="11.5" customWidth="1"/>
    <col min="20" max="20" width="9.8984375" customWidth="1"/>
  </cols>
  <sheetData>
    <row r="1" spans="1:20" ht="45" x14ac:dyDescent="0.2">
      <c r="A1" s="24" t="s">
        <v>180</v>
      </c>
      <c r="B1" s="1" t="s">
        <v>176</v>
      </c>
      <c r="C1" s="1" t="s">
        <v>181</v>
      </c>
      <c r="D1" s="1" t="s">
        <v>182</v>
      </c>
      <c r="E1" s="1" t="s">
        <v>183</v>
      </c>
      <c r="F1" s="1" t="s">
        <v>184</v>
      </c>
      <c r="G1" s="1" t="s">
        <v>185</v>
      </c>
      <c r="H1" s="1" t="s">
        <v>186</v>
      </c>
      <c r="I1" s="1" t="s">
        <v>187</v>
      </c>
      <c r="J1" s="1" t="s">
        <v>188</v>
      </c>
      <c r="L1" s="59" t="s">
        <v>189</v>
      </c>
      <c r="M1" s="59" t="s">
        <v>190</v>
      </c>
      <c r="N1" s="59" t="s">
        <v>191</v>
      </c>
      <c r="O1" s="60" t="s">
        <v>192</v>
      </c>
    </row>
    <row r="2" spans="1:20" x14ac:dyDescent="0.2">
      <c r="A2" s="24">
        <v>6</v>
      </c>
      <c r="B2" s="1"/>
      <c r="C2" s="1" t="s">
        <v>193</v>
      </c>
      <c r="D2" s="1">
        <v>1707</v>
      </c>
      <c r="E2" s="61">
        <v>6185</v>
      </c>
      <c r="F2" s="1">
        <f>TobComp[[#This Row],[Number of Retailers in County]]/TobComp[[#This Row],[County Land Mass (mi^2)]]</f>
        <v>3.6233157586408904</v>
      </c>
      <c r="G2" s="2"/>
      <c r="H2" s="62">
        <f>TobComp[[#This Row],[Retail Density of County]]*48</f>
        <v>173.91915641476274</v>
      </c>
      <c r="I2" s="1">
        <f>IF(TobComp[[#This Row],[Density * 48/weeks]] &lt;=0.5, 1, IF(TobComp[[#This Row],[Density * 48/weeks]] &lt;=2.5, 2, IF(TobComp[[#This Row],[Density * 48/weeks]] &lt;=40, 3, 4)))</f>
        <v>4</v>
      </c>
      <c r="J2" s="1">
        <f>IF(TobComp[[#This Row],[Density * 48/weeks]] &lt;=0.5, $O$2, IF(TobComp[[#This Row],[Density * 48/weeks]] &lt;=2.5, $O$3, IF(TobComp[[#This Row],[Density * 48/weeks]] &lt;=40, $O$4, $O$5)))</f>
        <v>45</v>
      </c>
      <c r="L2" s="63">
        <v>1</v>
      </c>
      <c r="M2" s="64" t="s">
        <v>194</v>
      </c>
      <c r="N2" s="64">
        <f>COUNTIF(TobComp[Density * 48/weeks], "&lt;=0.5")</f>
        <v>54</v>
      </c>
      <c r="O2" s="64">
        <v>10</v>
      </c>
    </row>
    <row r="3" spans="1:20" x14ac:dyDescent="0.2">
      <c r="A3" s="24">
        <v>3</v>
      </c>
      <c r="B3" s="1"/>
      <c r="C3" s="1" t="s">
        <v>195</v>
      </c>
      <c r="D3" s="1">
        <v>873.1</v>
      </c>
      <c r="E3" s="61">
        <v>2949</v>
      </c>
      <c r="F3" s="1">
        <f>TobComp[[#This Row],[Number of Retailers in County]]/TobComp[[#This Row],[County Land Mass (mi^2)]]</f>
        <v>3.3776199748024283</v>
      </c>
      <c r="G3" s="2"/>
      <c r="H3" s="62">
        <f>TobComp[[#This Row],[Retail Density of County]]*48</f>
        <v>162.12575879051656</v>
      </c>
      <c r="I3" s="1">
        <f>IF(TobComp[[#This Row],[Density * 48/weeks]] &lt;=0.5, 1, IF(TobComp[[#This Row],[Density * 48/weeks]] &lt;=2.5, 2, IF(TobComp[[#This Row],[Density * 48/weeks]] &lt;=40, 3, 4)))</f>
        <v>4</v>
      </c>
      <c r="J3" s="1">
        <f>IF(TobComp[[#This Row],[Density * 48/weeks]] &lt;=0.5, $O$2, IF(TobComp[[#This Row],[Density * 48/weeks]] &lt;=2.5, $O$3, IF(TobComp[[#This Row],[Density * 48/weeks]] &lt;=40, $O$4, $O$5)))</f>
        <v>45</v>
      </c>
      <c r="L3" s="63">
        <v>2</v>
      </c>
      <c r="M3" s="64" t="s">
        <v>196</v>
      </c>
      <c r="N3" s="65">
        <f>COUNTIF(TobComp[Density * 48/weeks], "&lt;=2.5") - N2</f>
        <v>98</v>
      </c>
      <c r="O3" s="64">
        <v>25</v>
      </c>
    </row>
    <row r="4" spans="1:20" x14ac:dyDescent="0.2">
      <c r="A4" s="24">
        <v>3</v>
      </c>
      <c r="B4" s="1"/>
      <c r="C4" s="1" t="s">
        <v>197</v>
      </c>
      <c r="D4" s="1">
        <v>865.3</v>
      </c>
      <c r="E4" s="61">
        <v>2358</v>
      </c>
      <c r="F4" s="1">
        <f>TobComp[[#This Row],[Number of Retailers in County]]/TobComp[[#This Row],[County Land Mass (mi^2)]]</f>
        <v>2.7250664509418701</v>
      </c>
      <c r="G4" s="2"/>
      <c r="H4" s="62">
        <f>TobComp[[#This Row],[Retail Density of County]]*48</f>
        <v>130.80318964520976</v>
      </c>
      <c r="I4" s="1">
        <f>IF(TobComp[[#This Row],[Density * 48/weeks]] &lt;=0.5, 1, IF(TobComp[[#This Row],[Density * 48/weeks]] &lt;=2.5, 2, IF(TobComp[[#This Row],[Density * 48/weeks]] &lt;=40, 3, 4)))</f>
        <v>4</v>
      </c>
      <c r="J4" s="1">
        <f>IF(TobComp[[#This Row],[Density * 48/weeks]] &lt;=0.5, $O$2, IF(TobComp[[#This Row],[Density * 48/weeks]] &lt;=2.5, $O$3, IF(TobComp[[#This Row],[Density * 48/weeks]] &lt;=40, $O$4, $O$5)))</f>
        <v>45</v>
      </c>
      <c r="L4" s="63">
        <v>3</v>
      </c>
      <c r="M4" s="66" t="s">
        <v>198</v>
      </c>
      <c r="N4" s="65">
        <f>COUNTIF(TobComp[Density * 48/weeks], "&lt;=40")-N3-N2</f>
        <v>94</v>
      </c>
      <c r="O4" s="64">
        <v>35</v>
      </c>
    </row>
    <row r="5" spans="1:20" ht="16.5" customHeight="1" x14ac:dyDescent="0.2">
      <c r="A5" s="24">
        <v>8</v>
      </c>
      <c r="B5" s="1"/>
      <c r="C5" s="1" t="s">
        <v>199</v>
      </c>
      <c r="D5" s="1">
        <v>1240.3</v>
      </c>
      <c r="E5" s="61">
        <v>1950</v>
      </c>
      <c r="F5" s="1">
        <f>TobComp[[#This Row],[Number of Retailers in County]]/TobComp[[#This Row],[County Land Mass (mi^2)]]</f>
        <v>1.5722002741272274</v>
      </c>
      <c r="G5" s="2"/>
      <c r="H5" s="62">
        <f>TobComp[[#This Row],[Retail Density of County]]*48</f>
        <v>75.465613158106919</v>
      </c>
      <c r="I5" s="1">
        <f>IF(TobComp[[#This Row],[Density * 48/weeks]] &lt;=0.5, 1, IF(TobComp[[#This Row],[Density * 48/weeks]] &lt;=2.5, 2, IF(TobComp[[#This Row],[Density * 48/weeks]] &lt;=40, 3, 4)))</f>
        <v>4</v>
      </c>
      <c r="J5" s="1">
        <f>IF(TobComp[[#This Row],[Density * 48/weeks]] &lt;=0.5, $O$2, IF(TobComp[[#This Row],[Density * 48/weeks]] &lt;=2.5, $O$3, IF(TobComp[[#This Row],[Density * 48/weeks]] &lt;=40, $O$4, $O$5)))</f>
        <v>45</v>
      </c>
      <c r="L5" s="63">
        <v>4</v>
      </c>
      <c r="M5" s="64" t="s">
        <v>200</v>
      </c>
      <c r="N5" s="64">
        <f>COUNTIF(TobComp[Density * 48/weeks], "&gt;40")</f>
        <v>8</v>
      </c>
      <c r="O5" s="64">
        <v>45</v>
      </c>
    </row>
    <row r="6" spans="1:20" x14ac:dyDescent="0.2">
      <c r="A6" s="24">
        <v>6</v>
      </c>
      <c r="B6" s="1"/>
      <c r="C6" s="1" t="s">
        <v>201</v>
      </c>
      <c r="D6" s="1">
        <v>379.3</v>
      </c>
      <c r="E6" s="61">
        <v>537</v>
      </c>
      <c r="F6" s="1">
        <f>TobComp[[#This Row],[Number of Retailers in County]]/TobComp[[#This Row],[County Land Mass (mi^2)]]</f>
        <v>1.4157658845241234</v>
      </c>
      <c r="G6" s="2"/>
      <c r="H6" s="62">
        <f>TobComp[[#This Row],[Retail Density of County]]*48</f>
        <v>67.956762457157922</v>
      </c>
      <c r="I6" s="1">
        <f>IF(TobComp[[#This Row],[Density * 48/weeks]] &lt;=0.5, 1, IF(TobComp[[#This Row],[Density * 48/weeks]] &lt;=2.5, 2, IF(TobComp[[#This Row],[Density * 48/weeks]] &lt;=40, 3, 4)))</f>
        <v>4</v>
      </c>
      <c r="J6" s="1">
        <f>IF(TobComp[[#This Row],[Density * 48/weeks]] &lt;=0.5, $O$2, IF(TobComp[[#This Row],[Density * 48/weeks]] &lt;=2.5, $O$3, IF(TobComp[[#This Row],[Density * 48/weeks]] &lt;=40, $O$4, $O$5)))</f>
        <v>45</v>
      </c>
    </row>
    <row r="7" spans="1:20" x14ac:dyDescent="0.2">
      <c r="A7" s="24">
        <v>7</v>
      </c>
      <c r="B7" s="1"/>
      <c r="C7" s="1" t="s">
        <v>202</v>
      </c>
      <c r="D7" s="1">
        <v>994.1</v>
      </c>
      <c r="E7" s="61">
        <v>1282</v>
      </c>
      <c r="F7" s="1">
        <f>TobComp[[#This Row],[Number of Retailers in County]]/TobComp[[#This Row],[County Land Mass (mi^2)]]</f>
        <v>1.2896086912785434</v>
      </c>
      <c r="G7" s="2"/>
      <c r="H7" s="62">
        <f>TobComp[[#This Row],[Retail Density of County]]*48</f>
        <v>61.901217181370086</v>
      </c>
      <c r="I7" s="1">
        <f>IF(TobComp[[#This Row],[Density * 48/weeks]] &lt;=0.5, 1, IF(TobComp[[#This Row],[Density * 48/weeks]] &lt;=2.5, 2, IF(TobComp[[#This Row],[Density * 48/weeks]] &lt;=40, 3, 4)))</f>
        <v>4</v>
      </c>
      <c r="J7" s="1">
        <f>IF(TobComp[[#This Row],[Density * 48/weeks]] &lt;=0.5, $O$2, IF(TobComp[[#This Row],[Density * 48/weeks]] &lt;=2.5, $O$3, IF(TobComp[[#This Row],[Density * 48/weeks]] &lt;=40, $O$4, $O$5)))</f>
        <v>45</v>
      </c>
    </row>
    <row r="8" spans="1:20" ht="30" x14ac:dyDescent="0.2">
      <c r="A8" s="24">
        <v>3</v>
      </c>
      <c r="B8" s="1"/>
      <c r="C8" s="1" t="s">
        <v>203</v>
      </c>
      <c r="D8" s="1">
        <v>841.3</v>
      </c>
      <c r="E8" s="61">
        <v>774</v>
      </c>
      <c r="F8" s="1">
        <f>TobComp[[#This Row],[Number of Retailers in County]]/TobComp[[#This Row],[County Land Mass (mi^2)]]</f>
        <v>0.92000475454653519</v>
      </c>
      <c r="G8" s="2"/>
      <c r="H8" s="62">
        <f>TobComp[[#This Row],[Retail Density of County]]*48</f>
        <v>44.160228218233691</v>
      </c>
      <c r="I8" s="1">
        <f>IF(TobComp[[#This Row],[Density * 48/weeks]] &lt;=0.5, 1, IF(TobComp[[#This Row],[Density * 48/weeks]] &lt;=2.5, 2, IF(TobComp[[#This Row],[Density * 48/weeks]] &lt;=40, 3, 4)))</f>
        <v>4</v>
      </c>
      <c r="J8" s="1">
        <f>IF(TobComp[[#This Row],[Density * 48/weeks]] &lt;=0.5, $O$2, IF(TobComp[[#This Row],[Density * 48/weeks]] &lt;=2.5, $O$3, IF(TobComp[[#This Row],[Density * 48/weeks]] &lt;=40, $O$4, $O$5)))</f>
        <v>45</v>
      </c>
      <c r="L8" s="60" t="s">
        <v>204</v>
      </c>
      <c r="M8" s="59" t="s">
        <v>205</v>
      </c>
      <c r="N8" s="60" t="s">
        <v>206</v>
      </c>
      <c r="O8" s="60" t="s">
        <v>207</v>
      </c>
      <c r="P8" s="67" t="s">
        <v>208</v>
      </c>
      <c r="Q8" s="67" t="s">
        <v>209</v>
      </c>
      <c r="R8" s="67" t="s">
        <v>210</v>
      </c>
      <c r="S8" s="68" t="s">
        <v>211</v>
      </c>
      <c r="T8" s="69" t="s">
        <v>212</v>
      </c>
    </row>
    <row r="9" spans="1:20" x14ac:dyDescent="0.2">
      <c r="A9" s="24">
        <v>4</v>
      </c>
      <c r="B9" s="1"/>
      <c r="C9" s="1" t="s">
        <v>213</v>
      </c>
      <c r="D9" s="1">
        <v>273.39999999999998</v>
      </c>
      <c r="E9" s="61">
        <v>232</v>
      </c>
      <c r="F9" s="1">
        <f>TobComp[[#This Row],[Number of Retailers in County]]/TobComp[[#This Row],[County Land Mass (mi^2)]]</f>
        <v>0.84857351865398689</v>
      </c>
      <c r="G9" s="2"/>
      <c r="H9" s="62">
        <f>TobComp[[#This Row],[Retail Density of County]]*48</f>
        <v>40.731528895391371</v>
      </c>
      <c r="I9" s="1">
        <f>IF(TobComp[[#This Row],[Density * 48/weeks]] &lt;=0.5, 1, IF(TobComp[[#This Row],[Density * 48/weeks]] &lt;=2.5, 2, IF(TobComp[[#This Row],[Density * 48/weeks]] &lt;=40, 3, 4)))</f>
        <v>4</v>
      </c>
      <c r="J9" s="1">
        <f>IF(TobComp[[#This Row],[Density * 48/weeks]] &lt;=0.5, $O$2, IF(TobComp[[#This Row],[Density * 48/weeks]] &lt;=2.5, $O$3, IF(TobComp[[#This Row],[Density * 48/weeks]] &lt;=40, $O$4, $O$5)))</f>
        <v>45</v>
      </c>
      <c r="L9" s="64">
        <v>1</v>
      </c>
      <c r="M9" s="70">
        <f>SUMIF(TobComp[Public Health Region], 1, TobComp[Est. Checks for County])/COUNTIF(TobComp[Public Health Region], 1)</f>
        <v>18.780487804878049</v>
      </c>
      <c r="N9" s="64">
        <v>16</v>
      </c>
      <c r="O9" s="71">
        <f t="shared" ref="O9:O19" si="0">M9*N9</f>
        <v>300.48780487804879</v>
      </c>
      <c r="P9">
        <v>1100</v>
      </c>
      <c r="Q9" s="64">
        <v>753</v>
      </c>
      <c r="R9" s="65">
        <f t="shared" ref="R9:R19" si="1">O9+P9</f>
        <v>1400.4878048780488</v>
      </c>
      <c r="S9" s="64">
        <v>1148</v>
      </c>
      <c r="T9" s="72">
        <f t="shared" ref="T9:T20" si="2">R9/S9</f>
        <v>1.2199371122631086</v>
      </c>
    </row>
    <row r="10" spans="1:20" x14ac:dyDescent="0.2">
      <c r="A10" s="24">
        <v>6</v>
      </c>
      <c r="B10" s="1"/>
      <c r="C10" s="1" t="s">
        <v>214</v>
      </c>
      <c r="D10" s="1">
        <v>861.7</v>
      </c>
      <c r="E10" s="61">
        <v>676</v>
      </c>
      <c r="F10" s="1">
        <f>TobComp[[#This Row],[Number of Retailers in County]]/TobComp[[#This Row],[County Land Mass (mi^2)]]</f>
        <v>0.78449576418707201</v>
      </c>
      <c r="G10" s="2"/>
      <c r="H10" s="62">
        <f>TobComp[[#This Row],[Retail Density of County]]*48</f>
        <v>37.655796680979456</v>
      </c>
      <c r="I10" s="1">
        <f>IF(TobComp[[#This Row],[Density * 48/weeks]] &lt;=0.5, 1, IF(TobComp[[#This Row],[Density * 48/weeks]] &lt;=2.5, 2, IF(TobComp[[#This Row],[Density * 48/weeks]] &lt;=40, 3, 4)))</f>
        <v>3</v>
      </c>
      <c r="J10" s="1">
        <f>IF(TobComp[[#This Row],[Density * 48/weeks]] &lt;=0.5, $O$2, IF(TobComp[[#This Row],[Density * 48/weeks]] &lt;=2.5, $O$3, IF(TobComp[[#This Row],[Density * 48/weeks]] &lt;=40, $O$4, $O$5)))</f>
        <v>35</v>
      </c>
      <c r="L10" s="64">
        <v>2</v>
      </c>
      <c r="M10" s="70">
        <f>SUMIF(TobComp[Public Health Region], 2, TobComp[Est. Checks for County])/COUNTIF(TobComp[Public Health Region], 2)</f>
        <v>22</v>
      </c>
      <c r="N10" s="64">
        <v>13</v>
      </c>
      <c r="O10" s="71">
        <f t="shared" si="0"/>
        <v>286</v>
      </c>
      <c r="P10" s="71">
        <v>830</v>
      </c>
      <c r="Q10" s="64">
        <v>607</v>
      </c>
      <c r="R10" s="65">
        <f t="shared" si="1"/>
        <v>1116</v>
      </c>
      <c r="S10" s="65">
        <v>899</v>
      </c>
      <c r="T10" s="72">
        <f t="shared" si="2"/>
        <v>1.2413793103448276</v>
      </c>
    </row>
    <row r="11" spans="1:20" x14ac:dyDescent="0.2">
      <c r="A11" s="24">
        <v>10</v>
      </c>
      <c r="B11" s="1"/>
      <c r="C11" s="1" t="s">
        <v>215</v>
      </c>
      <c r="D11" s="1">
        <v>1013.2</v>
      </c>
      <c r="E11" s="61">
        <v>782</v>
      </c>
      <c r="F11" s="1">
        <f>TobComp[[#This Row],[Number of Retailers in County]]/TobComp[[#This Row],[County Land Mass (mi^2)]]</f>
        <v>0.77181208053691275</v>
      </c>
      <c r="G11" s="2"/>
      <c r="H11" s="62">
        <f>TobComp[[#This Row],[Retail Density of County]]*48</f>
        <v>37.04697986577181</v>
      </c>
      <c r="I11" s="1">
        <f>IF(TobComp[[#This Row],[Density * 48/weeks]] &lt;=0.5, 1, IF(TobComp[[#This Row],[Density * 48/weeks]] &lt;=2.5, 2, IF(TobComp[[#This Row],[Density * 48/weeks]] &lt;=40, 3, 4)))</f>
        <v>3</v>
      </c>
      <c r="J11" s="1">
        <f>IF(TobComp[[#This Row],[Density * 48/weeks]] &lt;=0.5, $O$2, IF(TobComp[[#This Row],[Density * 48/weeks]] &lt;=2.5, $O$3, IF(TobComp[[#This Row],[Density * 48/weeks]] &lt;=40, $O$4, $O$5)))</f>
        <v>35</v>
      </c>
      <c r="L11" s="73">
        <v>3</v>
      </c>
      <c r="M11" s="70">
        <f>SUMIF(TobComp[Public Health Region], 3, TobComp[Est. Checks for County])/COUNTIF(TobComp[Public Health Region], 3)</f>
        <v>35.526315789473685</v>
      </c>
      <c r="N11" s="64">
        <v>86</v>
      </c>
      <c r="O11" s="71">
        <f t="shared" si="0"/>
        <v>3055.2631578947371</v>
      </c>
      <c r="P11" s="71">
        <v>2700</v>
      </c>
      <c r="Q11" s="64">
        <v>4136</v>
      </c>
      <c r="R11" s="65">
        <f t="shared" si="1"/>
        <v>5755.2631578947367</v>
      </c>
      <c r="S11" s="65">
        <v>8359</v>
      </c>
      <c r="T11" s="74">
        <f t="shared" si="2"/>
        <v>0.68851096517463051</v>
      </c>
    </row>
    <row r="12" spans="1:20" x14ac:dyDescent="0.2">
      <c r="A12" s="24">
        <v>3</v>
      </c>
      <c r="B12" s="1"/>
      <c r="C12" s="1" t="s">
        <v>216</v>
      </c>
      <c r="D12" s="1">
        <v>878.5</v>
      </c>
      <c r="E12" s="61">
        <v>668</v>
      </c>
      <c r="F12" s="1">
        <f>TobComp[[#This Row],[Number of Retailers in County]]/TobComp[[#This Row],[County Land Mass (mi^2)]]</f>
        <v>0.76038702333523056</v>
      </c>
      <c r="G12" s="2"/>
      <c r="H12" s="62">
        <f>TobComp[[#This Row],[Retail Density of County]]*48</f>
        <v>36.49857712009107</v>
      </c>
      <c r="I12" s="1">
        <f>IF(TobComp[[#This Row],[Density * 48/weeks]] &lt;=0.5, 1, IF(TobComp[[#This Row],[Density * 48/weeks]] &lt;=2.5, 2, IF(TobComp[[#This Row],[Density * 48/weeks]] &lt;=40, 3, 4)))</f>
        <v>3</v>
      </c>
      <c r="J12" s="1">
        <f>IF(TobComp[[#This Row],[Density * 48/weeks]] &lt;=0.5, $O$2, IF(TobComp[[#This Row],[Density * 48/weeks]] &lt;=2.5, $O$3, IF(TobComp[[#This Row],[Density * 48/weeks]] &lt;=40, $O$4, $O$5)))</f>
        <v>35</v>
      </c>
      <c r="L12" s="64">
        <v>4</v>
      </c>
      <c r="M12" s="70">
        <f>SUMIF(TobComp[Public Health Region], 4, TobComp[Est. Checks for County])/COUNTIF(TobComp[Public Health Region], 4)</f>
        <v>33.260869565217391</v>
      </c>
      <c r="N12" s="64">
        <v>16</v>
      </c>
      <c r="O12" s="71">
        <f t="shared" si="0"/>
        <v>532.17391304347825</v>
      </c>
      <c r="P12" s="71">
        <v>1600</v>
      </c>
      <c r="Q12" s="64">
        <v>788</v>
      </c>
      <c r="R12" s="65">
        <f t="shared" si="1"/>
        <v>2132.173913043478</v>
      </c>
      <c r="S12" s="65">
        <v>1750</v>
      </c>
      <c r="T12" s="72">
        <f t="shared" si="2"/>
        <v>1.2183850931677018</v>
      </c>
    </row>
    <row r="13" spans="1:20" x14ac:dyDescent="0.2">
      <c r="A13" s="24">
        <v>6</v>
      </c>
      <c r="B13" s="1"/>
      <c r="C13" s="1" t="s">
        <v>217</v>
      </c>
      <c r="D13" s="1">
        <v>1042.2</v>
      </c>
      <c r="E13" s="61">
        <v>714</v>
      </c>
      <c r="F13" s="1">
        <f>TobComp[[#This Row],[Number of Retailers in County]]/TobComp[[#This Row],[County Land Mass (mi^2)]]</f>
        <v>0.68508923431203217</v>
      </c>
      <c r="G13" s="2"/>
      <c r="H13" s="62">
        <f>TobComp[[#This Row],[Retail Density of County]]*48</f>
        <v>32.884283246977546</v>
      </c>
      <c r="I13" s="1">
        <f>IF(TobComp[[#This Row],[Density * 48/weeks]] &lt;=0.5, 1, IF(TobComp[[#This Row],[Density * 48/weeks]] &lt;=2.5, 2, IF(TobComp[[#This Row],[Density * 48/weeks]] &lt;=40, 3, 4)))</f>
        <v>3</v>
      </c>
      <c r="J13" s="1">
        <f>IF(TobComp[[#This Row],[Density * 48/weeks]] &lt;=0.5, $O$2, IF(TobComp[[#This Row],[Density * 48/weeks]] &lt;=2.5, $O$3, IF(TobComp[[#This Row],[Density * 48/weeks]] &lt;=40, $O$4, $O$5)))</f>
        <v>35</v>
      </c>
      <c r="L13" s="64">
        <v>5</v>
      </c>
      <c r="M13" s="70">
        <f>SUMIF(TobComp[Public Health Region], 5, TobComp[Est. Checks for County])/COUNTIF(TobComp[Public Health Region], 5)</f>
        <v>31.666666666666668</v>
      </c>
      <c r="N13" s="64">
        <v>14</v>
      </c>
      <c r="O13" s="71">
        <f t="shared" si="0"/>
        <v>443.33333333333337</v>
      </c>
      <c r="P13" s="71">
        <v>1300</v>
      </c>
      <c r="Q13" s="64">
        <v>669</v>
      </c>
      <c r="R13" s="65">
        <f t="shared" si="1"/>
        <v>1743.3333333333335</v>
      </c>
      <c r="S13" s="65">
        <v>1370</v>
      </c>
      <c r="T13" s="72">
        <f t="shared" si="2"/>
        <v>1.2725060827250609</v>
      </c>
    </row>
    <row r="14" spans="1:20" x14ac:dyDescent="0.2">
      <c r="A14" s="24">
        <v>11</v>
      </c>
      <c r="B14" s="1"/>
      <c r="C14" s="1" t="s">
        <v>218</v>
      </c>
      <c r="D14" s="1">
        <v>1571</v>
      </c>
      <c r="E14" s="61">
        <v>1000</v>
      </c>
      <c r="F14" s="1">
        <f>TobComp[[#This Row],[Number of Retailers in County]]/TobComp[[#This Row],[County Land Mass (mi^2)]]</f>
        <v>0.63653723742838952</v>
      </c>
      <c r="G14" s="2"/>
      <c r="H14" s="62">
        <f>TobComp[[#This Row],[Retail Density of County]]*48</f>
        <v>30.553787396562697</v>
      </c>
      <c r="I14" s="1">
        <f>IF(TobComp[[#This Row],[Density * 48/weeks]] &lt;=0.5, 1, IF(TobComp[[#This Row],[Density * 48/weeks]] &lt;=2.5, 2, IF(TobComp[[#This Row],[Density * 48/weeks]] &lt;=40, 3, 4)))</f>
        <v>3</v>
      </c>
      <c r="J14" s="1">
        <f>IF(TobComp[[#This Row],[Density * 48/weeks]] &lt;=0.5, $O$2, IF(TobComp[[#This Row],[Density * 48/weeks]] &lt;=2.5, $O$3, IF(TobComp[[#This Row],[Density * 48/weeks]] &lt;=40, $O$4, $O$5)))</f>
        <v>35</v>
      </c>
      <c r="L14" s="73">
        <v>6</v>
      </c>
      <c r="M14" s="70">
        <f>SUMIF(TobComp[Public Health Region], 6, TobComp[Est. Checks for County])/COUNTIF(TobComp[Public Health Region], 6)</f>
        <v>35.769230769230766</v>
      </c>
      <c r="N14" s="64">
        <v>81</v>
      </c>
      <c r="O14" s="71">
        <f t="shared" si="0"/>
        <v>2897.3076923076919</v>
      </c>
      <c r="P14" s="71">
        <v>2700</v>
      </c>
      <c r="Q14" s="64">
        <v>3906</v>
      </c>
      <c r="R14" s="65">
        <f t="shared" si="1"/>
        <v>5597.3076923076915</v>
      </c>
      <c r="S14" s="65">
        <v>9191</v>
      </c>
      <c r="T14" s="74">
        <f t="shared" si="2"/>
        <v>0.6089987696994551</v>
      </c>
    </row>
    <row r="15" spans="1:20" x14ac:dyDescent="0.2">
      <c r="A15" s="24">
        <v>3</v>
      </c>
      <c r="B15" s="1"/>
      <c r="C15" s="1" t="s">
        <v>219</v>
      </c>
      <c r="D15" s="1">
        <v>127.2</v>
      </c>
      <c r="E15" s="61">
        <v>78</v>
      </c>
      <c r="F15" s="1">
        <f>TobComp[[#This Row],[Number of Retailers in County]]/TobComp[[#This Row],[County Land Mass (mi^2)]]</f>
        <v>0.6132075471698113</v>
      </c>
      <c r="G15" s="2"/>
      <c r="H15" s="62">
        <f>TobComp[[#This Row],[Retail Density of County]]*48</f>
        <v>29.433962264150942</v>
      </c>
      <c r="I15" s="1">
        <f>IF(TobComp[[#This Row],[Density * 48/weeks]] &lt;=0.5, 1, IF(TobComp[[#This Row],[Density * 48/weeks]] &lt;=2.5, 2, IF(TobComp[[#This Row],[Density * 48/weeks]] &lt;=40, 3, 4)))</f>
        <v>3</v>
      </c>
      <c r="J15" s="1">
        <f>IF(TobComp[[#This Row],[Density * 48/weeks]] &lt;=0.5, $O$2, IF(TobComp[[#This Row],[Density * 48/weeks]] &lt;=2.5, $O$3, IF(TobComp[[#This Row],[Density * 48/weeks]] &lt;=40, $O$4, $O$5)))</f>
        <v>35</v>
      </c>
      <c r="L15" s="64">
        <v>7</v>
      </c>
      <c r="M15" s="70">
        <f>SUMIF(TobComp[Public Health Region], 7, TobComp[Est. Checks for County])/COUNTIF(TobComp[Public Health Region], 7)</f>
        <v>31</v>
      </c>
      <c r="N15" s="64">
        <v>42</v>
      </c>
      <c r="O15" s="71">
        <f t="shared" si="0"/>
        <v>1302</v>
      </c>
      <c r="P15" s="71">
        <v>2700</v>
      </c>
      <c r="Q15" s="64">
        <v>2016</v>
      </c>
      <c r="R15" s="65">
        <f t="shared" si="1"/>
        <v>4002</v>
      </c>
      <c r="S15" s="65">
        <v>4022</v>
      </c>
      <c r="T15" s="72">
        <f t="shared" si="2"/>
        <v>0.99502734957732475</v>
      </c>
    </row>
    <row r="16" spans="1:20" x14ac:dyDescent="0.2">
      <c r="A16" s="24">
        <v>5</v>
      </c>
      <c r="B16" s="1"/>
      <c r="C16" s="1" t="s">
        <v>220</v>
      </c>
      <c r="D16" s="1">
        <v>876.8</v>
      </c>
      <c r="E16" s="61">
        <v>486</v>
      </c>
      <c r="F16" s="1">
        <f>TobComp[[#This Row],[Number of Retailers in County]]/TobComp[[#This Row],[County Land Mass (mi^2)]]</f>
        <v>0.55428832116788329</v>
      </c>
      <c r="G16" s="2"/>
      <c r="H16" s="62">
        <f>TobComp[[#This Row],[Retail Density of County]]*48</f>
        <v>26.605839416058398</v>
      </c>
      <c r="I16" s="1">
        <f>IF(TobComp[[#This Row],[Density * 48/weeks]] &lt;=0.5, 1, IF(TobComp[[#This Row],[Density * 48/weeks]] &lt;=2.5, 2, IF(TobComp[[#This Row],[Density * 48/weeks]] &lt;=40, 3, 4)))</f>
        <v>3</v>
      </c>
      <c r="J16" s="1">
        <f>IF(TobComp[[#This Row],[Density * 48/weeks]] &lt;=0.5, $O$2, IF(TobComp[[#This Row],[Density * 48/weeks]] &lt;=2.5, $O$3, IF(TobComp[[#This Row],[Density * 48/weeks]] &lt;=40, $O$4, $O$5)))</f>
        <v>35</v>
      </c>
      <c r="L16" s="64">
        <v>8</v>
      </c>
      <c r="M16" s="70">
        <f>SUMIF(TobComp[Public Health Region], 8, TobComp[Est. Checks for County])/COUNTIF(TobComp[Public Health Region], 8)</f>
        <v>26.428571428571427</v>
      </c>
      <c r="N16" s="64">
        <v>36</v>
      </c>
      <c r="O16" s="71">
        <f t="shared" si="0"/>
        <v>951.42857142857133</v>
      </c>
      <c r="P16" s="71">
        <v>2500</v>
      </c>
      <c r="Q16" s="64">
        <v>1746</v>
      </c>
      <c r="R16" s="65">
        <f t="shared" si="1"/>
        <v>3451.4285714285716</v>
      </c>
      <c r="S16" s="65">
        <v>3215</v>
      </c>
      <c r="T16" s="72">
        <f t="shared" si="2"/>
        <v>1.0735392135081094</v>
      </c>
    </row>
    <row r="17" spans="1:20" x14ac:dyDescent="0.2">
      <c r="A17" s="24">
        <v>11</v>
      </c>
      <c r="B17" s="1"/>
      <c r="C17" s="1" t="s">
        <v>221</v>
      </c>
      <c r="D17" s="1">
        <v>839.1</v>
      </c>
      <c r="E17" s="61">
        <v>413</v>
      </c>
      <c r="F17" s="1">
        <f>TobComp[[#This Row],[Number of Retailers in County]]/TobComp[[#This Row],[County Land Mass (mi^2)]]</f>
        <v>0.49219401739959479</v>
      </c>
      <c r="G17" s="2"/>
      <c r="H17" s="62">
        <f>TobComp[[#This Row],[Retail Density of County]]*48</f>
        <v>23.625312835180551</v>
      </c>
      <c r="I17" s="1">
        <f>IF(TobComp[[#This Row],[Density * 48/weeks]] &lt;=0.5, 1, IF(TobComp[[#This Row],[Density * 48/weeks]] &lt;=2.5, 2, IF(TobComp[[#This Row],[Density * 48/weeks]] &lt;=40, 3, 4)))</f>
        <v>3</v>
      </c>
      <c r="J17" s="1">
        <f>IF(TobComp[[#This Row],[Density * 48/weeks]] &lt;=0.5, $O$2, IF(TobComp[[#This Row],[Density * 48/weeks]] &lt;=2.5, $O$3, IF(TobComp[[#This Row],[Density * 48/weeks]] &lt;=40, $O$4, $O$5)))</f>
        <v>35</v>
      </c>
      <c r="L17" s="64">
        <v>9</v>
      </c>
      <c r="M17" s="70">
        <f>SUMIF(TobComp[Public Health Region], 9, TobComp[Est. Checks for County])/COUNTIF(TobComp[Public Health Region], 9)</f>
        <v>18.333333333333332</v>
      </c>
      <c r="N17" s="64">
        <v>14</v>
      </c>
      <c r="O17" s="71">
        <f t="shared" si="0"/>
        <v>256.66666666666663</v>
      </c>
      <c r="P17" s="71">
        <v>880</v>
      </c>
      <c r="Q17" s="64">
        <v>670</v>
      </c>
      <c r="R17" s="65">
        <f t="shared" si="1"/>
        <v>1136.6666666666665</v>
      </c>
      <c r="S17" s="65">
        <v>958</v>
      </c>
      <c r="T17" s="72">
        <f t="shared" si="2"/>
        <v>1.1864996520528879</v>
      </c>
    </row>
    <row r="18" spans="1:20" x14ac:dyDescent="0.2">
      <c r="A18" s="24">
        <v>5</v>
      </c>
      <c r="B18" s="1"/>
      <c r="C18" s="1" t="s">
        <v>222</v>
      </c>
      <c r="D18" s="1">
        <v>333.8</v>
      </c>
      <c r="E18" s="61">
        <v>159</v>
      </c>
      <c r="F18" s="1">
        <f>TobComp[[#This Row],[Number of Retailers in County]]/TobComp[[#This Row],[County Land Mass (mi^2)]]</f>
        <v>0.47633313361294188</v>
      </c>
      <c r="G18" s="2"/>
      <c r="H18" s="62">
        <f>TobComp[[#This Row],[Retail Density of County]]*48</f>
        <v>22.86399041342121</v>
      </c>
      <c r="I18" s="1">
        <f>IF(TobComp[[#This Row],[Density * 48/weeks]] &lt;=0.5, 1, IF(TobComp[[#This Row],[Density * 48/weeks]] &lt;=2.5, 2, IF(TobComp[[#This Row],[Density * 48/weeks]] &lt;=40, 3, 4)))</f>
        <v>3</v>
      </c>
      <c r="J18" s="1">
        <f>IF(TobComp[[#This Row],[Density * 48/weeks]] &lt;=0.5, $O$2, IF(TobComp[[#This Row],[Density * 48/weeks]] &lt;=2.5, $O$3, IF(TobComp[[#This Row],[Density * 48/weeks]] &lt;=40, $O$4, $O$5)))</f>
        <v>35</v>
      </c>
      <c r="L18" s="64">
        <v>10</v>
      </c>
      <c r="M18" s="70">
        <f>SUMIF(TobComp[Public Health Region], 10, TobComp[Est. Checks for County])/COUNTIF(TobComp[Public Health Region], 10)</f>
        <v>14.166666666666666</v>
      </c>
      <c r="N18" s="64">
        <v>16</v>
      </c>
      <c r="O18" s="71">
        <f t="shared" si="0"/>
        <v>226.66666666666666</v>
      </c>
      <c r="P18" s="71">
        <v>800</v>
      </c>
      <c r="Q18" s="64">
        <v>790</v>
      </c>
      <c r="R18" s="65">
        <f t="shared" si="1"/>
        <v>1026.6666666666667</v>
      </c>
      <c r="S18" s="65">
        <v>853</v>
      </c>
      <c r="T18" s="72">
        <f t="shared" si="2"/>
        <v>1.2035951543571708</v>
      </c>
    </row>
    <row r="19" spans="1:20" ht="15.75" thickBot="1" x14ac:dyDescent="0.25">
      <c r="A19" s="24">
        <v>11</v>
      </c>
      <c r="B19" s="1"/>
      <c r="C19" s="1" t="s">
        <v>223</v>
      </c>
      <c r="D19" s="1">
        <v>891.7</v>
      </c>
      <c r="E19" s="61">
        <v>396</v>
      </c>
      <c r="F19" s="1">
        <f>TobComp[[#This Row],[Number of Retailers in County]]/TobComp[[#This Row],[County Land Mass (mi^2)]]</f>
        <v>0.44409554782998767</v>
      </c>
      <c r="G19" s="2"/>
      <c r="H19" s="62">
        <f>TobComp[[#This Row],[Retail Density of County]]*48</f>
        <v>21.316586295839407</v>
      </c>
      <c r="I19" s="1">
        <f>IF(TobComp[[#This Row],[Density * 48/weeks]] &lt;=0.5, 1, IF(TobComp[[#This Row],[Density * 48/weeks]] &lt;=2.5, 2, IF(TobComp[[#This Row],[Density * 48/weeks]] &lt;=40, 3, 4)))</f>
        <v>3</v>
      </c>
      <c r="J19" s="1">
        <f>IF(TobComp[[#This Row],[Density * 48/weeks]] &lt;=0.5, $O$2, IF(TobComp[[#This Row],[Density * 48/weeks]] &lt;=2.5, $O$3, IF(TobComp[[#This Row],[Density * 48/weeks]] &lt;=40, $O$4, $O$5)))</f>
        <v>35</v>
      </c>
      <c r="L19" s="75">
        <v>11</v>
      </c>
      <c r="M19" s="76">
        <f>SUMIF(TobComp[Public Health Region], 11, TobComp[Est. Checks for County])/COUNTIF(TobComp[Public Health Region], 11)</f>
        <v>27.631578947368421</v>
      </c>
      <c r="N19" s="75">
        <v>32</v>
      </c>
      <c r="O19" s="77">
        <f t="shared" si="0"/>
        <v>884.21052631578948</v>
      </c>
      <c r="P19" s="77">
        <v>2400</v>
      </c>
      <c r="Q19" s="75">
        <v>1540</v>
      </c>
      <c r="R19" s="78">
        <f t="shared" si="1"/>
        <v>3284.2105263157896</v>
      </c>
      <c r="S19" s="78">
        <v>2593</v>
      </c>
      <c r="T19" s="79">
        <f t="shared" si="2"/>
        <v>1.2665678851969879</v>
      </c>
    </row>
    <row r="20" spans="1:20" ht="16.5" thickTop="1" thickBot="1" x14ac:dyDescent="0.25">
      <c r="A20" s="24">
        <v>7</v>
      </c>
      <c r="B20" s="1"/>
      <c r="C20" s="1" t="s">
        <v>224</v>
      </c>
      <c r="D20" s="1">
        <v>1115.8</v>
      </c>
      <c r="E20" s="61">
        <v>483</v>
      </c>
      <c r="F20" s="1">
        <f>TobComp[[#This Row],[Number of Retailers in County]]/TobComp[[#This Row],[County Land Mass (mi^2)]]</f>
        <v>0.43287327478042664</v>
      </c>
      <c r="G20" s="2"/>
      <c r="H20" s="62">
        <f>TobComp[[#This Row],[Retail Density of County]]*48</f>
        <v>20.777917189460478</v>
      </c>
      <c r="I20" s="1">
        <f>IF(TobComp[[#This Row],[Density * 48/weeks]] &lt;=0.5, 1, IF(TobComp[[#This Row],[Density * 48/weeks]] &lt;=2.5, 2, IF(TobComp[[#This Row],[Density * 48/weeks]] &lt;=40, 3, 4)))</f>
        <v>3</v>
      </c>
      <c r="J20" s="1">
        <f>IF(TobComp[[#This Row],[Density * 48/weeks]] &lt;=0.5, $O$2, IF(TobComp[[#This Row],[Density * 48/weeks]] &lt;=2.5, $O$3, IF(TobComp[[#This Row],[Density * 48/weeks]] &lt;=40, $O$4, $O$5)))</f>
        <v>35</v>
      </c>
      <c r="L20" s="80"/>
      <c r="M20" s="80"/>
      <c r="N20" s="64">
        <f t="shared" ref="N20:S20" si="3">SUM(N9:N19)</f>
        <v>366</v>
      </c>
      <c r="O20" s="65">
        <f t="shared" si="3"/>
        <v>11135.538332534981</v>
      </c>
      <c r="P20" s="65">
        <f t="shared" si="3"/>
        <v>19510</v>
      </c>
      <c r="Q20" s="64">
        <f t="shared" si="3"/>
        <v>17621</v>
      </c>
      <c r="R20" s="65">
        <f t="shared" si="3"/>
        <v>30645.538332534987</v>
      </c>
      <c r="S20" s="81">
        <f t="shared" si="3"/>
        <v>34358</v>
      </c>
      <c r="T20" s="82">
        <f t="shared" si="2"/>
        <v>0.89194767834376232</v>
      </c>
    </row>
    <row r="21" spans="1:20" ht="15.75" thickTop="1" x14ac:dyDescent="0.2">
      <c r="A21" s="24">
        <v>7</v>
      </c>
      <c r="B21" s="1"/>
      <c r="C21" s="1" t="s">
        <v>225</v>
      </c>
      <c r="D21" s="1">
        <v>586.1</v>
      </c>
      <c r="E21" s="61">
        <v>235</v>
      </c>
      <c r="F21" s="1">
        <f>TobComp[[#This Row],[Number of Retailers in County]]/TobComp[[#This Row],[County Land Mass (mi^2)]]</f>
        <v>0.40095546835011087</v>
      </c>
      <c r="G21" s="2"/>
      <c r="H21" s="62">
        <f>TobComp[[#This Row],[Retail Density of County]]*48</f>
        <v>19.245862480805322</v>
      </c>
      <c r="I21" s="1">
        <f>IF(TobComp[[#This Row],[Density * 48/weeks]] &lt;=0.5, 1, IF(TobComp[[#This Row],[Density * 48/weeks]] &lt;=2.5, 2, IF(TobComp[[#This Row],[Density * 48/weeks]] &lt;=40, 3, 4)))</f>
        <v>3</v>
      </c>
      <c r="J21" s="1">
        <f>IF(TobComp[[#This Row],[Density * 48/weeks]] &lt;=0.5, $O$2, IF(TobComp[[#This Row],[Density * 48/weeks]] &lt;=2.5, $O$3, IF(TobComp[[#This Row],[Density * 48/weeks]] &lt;=40, $O$4, $O$5)))</f>
        <v>35</v>
      </c>
    </row>
    <row r="22" spans="1:20" x14ac:dyDescent="0.2">
      <c r="A22" s="24">
        <v>1</v>
      </c>
      <c r="B22" s="1"/>
      <c r="C22" s="1" t="s">
        <v>226</v>
      </c>
      <c r="D22" s="1">
        <v>895.6</v>
      </c>
      <c r="E22" s="61">
        <v>355</v>
      </c>
      <c r="F22" s="1">
        <f>TobComp[[#This Row],[Number of Retailers in County]]/TobComp[[#This Row],[County Land Mass (mi^2)]]</f>
        <v>0.39638231353282716</v>
      </c>
      <c r="G22" s="2"/>
      <c r="H22" s="62">
        <f>TobComp[[#This Row],[Retail Density of County]]*48</f>
        <v>19.026351049575702</v>
      </c>
      <c r="I22" s="1">
        <f>IF(TobComp[[#This Row],[Density * 48/weeks]] &lt;=0.5, 1, IF(TobComp[[#This Row],[Density * 48/weeks]] &lt;=2.5, 2, IF(TobComp[[#This Row],[Density * 48/weeks]] &lt;=40, 3, 4)))</f>
        <v>3</v>
      </c>
      <c r="J22" s="1">
        <f>IF(TobComp[[#This Row],[Density * 48/weeks]] &lt;=0.5, $O$2, IF(TobComp[[#This Row],[Density * 48/weeks]] &lt;=2.5, $O$3, IF(TobComp[[#This Row],[Density * 48/weeks]] &lt;=40, $O$4, $O$5)))</f>
        <v>35</v>
      </c>
    </row>
    <row r="23" spans="1:20" x14ac:dyDescent="0.2">
      <c r="A23" s="24">
        <v>7</v>
      </c>
      <c r="B23" s="1"/>
      <c r="C23" s="1" t="s">
        <v>227</v>
      </c>
      <c r="D23" s="1">
        <v>1053.8</v>
      </c>
      <c r="E23" s="61">
        <v>413</v>
      </c>
      <c r="F23" s="1">
        <f>TobComp[[#This Row],[Number of Retailers in County]]/TobComp[[#This Row],[County Land Mass (mi^2)]]</f>
        <v>0.39191497437843997</v>
      </c>
      <c r="G23" s="2"/>
      <c r="H23" s="62">
        <f>TobComp[[#This Row],[Retail Density of County]]*48</f>
        <v>18.811918770165118</v>
      </c>
      <c r="I23" s="1">
        <f>IF(TobComp[[#This Row],[Density * 48/weeks]] &lt;=0.5, 1, IF(TobComp[[#This Row],[Density * 48/weeks]] &lt;=2.5, 2, IF(TobComp[[#This Row],[Density * 48/weeks]] &lt;=40, 3, 4)))</f>
        <v>3</v>
      </c>
      <c r="J23" s="1">
        <f>IF(TobComp[[#This Row],[Density * 48/weeks]] &lt;=0.5, $O$2, IF(TobComp[[#This Row],[Density * 48/weeks]] &lt;=2.5, $O$3, IF(TobComp[[#This Row],[Density * 48/weeks]] &lt;=40, $O$4, $O$5)))</f>
        <v>35</v>
      </c>
    </row>
    <row r="24" spans="1:20" x14ac:dyDescent="0.2">
      <c r="A24" s="24">
        <v>7</v>
      </c>
      <c r="B24" s="1"/>
      <c r="C24" s="1" t="s">
        <v>228</v>
      </c>
      <c r="D24" s="1">
        <v>1036.7</v>
      </c>
      <c r="E24" s="61">
        <v>341</v>
      </c>
      <c r="F24" s="1">
        <f>TobComp[[#This Row],[Number of Retailers in County]]/TobComp[[#This Row],[County Land Mass (mi^2)]]</f>
        <v>0.32892833027876917</v>
      </c>
      <c r="G24" s="2"/>
      <c r="H24" s="62">
        <f>TobComp[[#This Row],[Retail Density of County]]*48</f>
        <v>15.788559853380921</v>
      </c>
      <c r="I24" s="1">
        <f>IF(TobComp[[#This Row],[Density * 48/weeks]] &lt;=0.5, 1, IF(TobComp[[#This Row],[Density * 48/weeks]] &lt;=2.5, 2, IF(TobComp[[#This Row],[Density * 48/weeks]] &lt;=40, 3, 4)))</f>
        <v>3</v>
      </c>
      <c r="J24" s="1">
        <f>IF(TobComp[[#This Row],[Density * 48/weeks]] &lt;=0.5, $O$2, IF(TobComp[[#This Row],[Density * 48/weeks]] &lt;=2.5, $O$3, IF(TobComp[[#This Row],[Density * 48/weeks]] &lt;=40, $O$4, $O$5)))</f>
        <v>35</v>
      </c>
    </row>
    <row r="25" spans="1:20" x14ac:dyDescent="0.2">
      <c r="A25" s="24">
        <v>4</v>
      </c>
      <c r="B25" s="1"/>
      <c r="C25" s="1" t="s">
        <v>229</v>
      </c>
      <c r="D25" s="1">
        <v>921.5</v>
      </c>
      <c r="E25" s="61">
        <v>299</v>
      </c>
      <c r="F25" s="1">
        <f>TobComp[[#This Row],[Number of Retailers in County]]/TobComp[[#This Row],[County Land Mass (mi^2)]]</f>
        <v>0.32447097124253932</v>
      </c>
      <c r="G25" s="2"/>
      <c r="H25" s="62">
        <f>TobComp[[#This Row],[Retail Density of County]]*48</f>
        <v>15.574606619641887</v>
      </c>
      <c r="I25" s="1">
        <f>IF(TobComp[[#This Row],[Density * 48/weeks]] &lt;=0.5, 1, IF(TobComp[[#This Row],[Density * 48/weeks]] &lt;=2.5, 2, IF(TobComp[[#This Row],[Density * 48/weeks]] &lt;=40, 3, 4)))</f>
        <v>3</v>
      </c>
      <c r="J25" s="1">
        <f>IF(TobComp[[#This Row],[Density * 48/weeks]] &lt;=0.5, $O$2, IF(TobComp[[#This Row],[Density * 48/weeks]] &lt;=2.5, $O$3, IF(TobComp[[#This Row],[Density * 48/weeks]] &lt;=40, $O$4, $O$5)))</f>
        <v>35</v>
      </c>
    </row>
    <row r="26" spans="1:20" x14ac:dyDescent="0.2">
      <c r="A26" s="24">
        <v>7</v>
      </c>
      <c r="B26" s="1"/>
      <c r="C26" s="1" t="s">
        <v>230</v>
      </c>
      <c r="D26" s="1">
        <v>676.9</v>
      </c>
      <c r="E26" s="61">
        <v>217</v>
      </c>
      <c r="F26" s="1">
        <f>TobComp[[#This Row],[Number of Retailers in County]]/TobComp[[#This Row],[County Land Mass (mi^2)]]</f>
        <v>0.32057911065149947</v>
      </c>
      <c r="G26" s="2"/>
      <c r="H26" s="62">
        <f>TobComp[[#This Row],[Retail Density of County]]*48</f>
        <v>15.387797311271974</v>
      </c>
      <c r="I26" s="1">
        <f>IF(TobComp[[#This Row],[Density * 48/weeks]] &lt;=0.5, 1, IF(TobComp[[#This Row],[Density * 48/weeks]] &lt;=2.5, 2, IF(TobComp[[#This Row],[Density * 48/weeks]] &lt;=40, 3, 4)))</f>
        <v>3</v>
      </c>
      <c r="J26" s="1">
        <f>IF(TobComp[[#This Row],[Density * 48/weeks]] &lt;=0.5, $O$2, IF(TobComp[[#This Row],[Density * 48/weeks]] &lt;=2.5, $O$3, IF(TobComp[[#This Row],[Density * 48/weeks]] &lt;=40, $O$4, $O$5)))</f>
        <v>35</v>
      </c>
    </row>
    <row r="27" spans="1:20" x14ac:dyDescent="0.2">
      <c r="A27" s="24">
        <v>8</v>
      </c>
      <c r="B27" s="1"/>
      <c r="C27" s="1" t="s">
        <v>231</v>
      </c>
      <c r="D27" s="1">
        <v>559.5</v>
      </c>
      <c r="E27" s="61">
        <v>171</v>
      </c>
      <c r="F27" s="1">
        <f>TobComp[[#This Row],[Number of Retailers in County]]/TobComp[[#This Row],[County Land Mass (mi^2)]]</f>
        <v>0.30563002680965146</v>
      </c>
      <c r="G27" s="2"/>
      <c r="H27" s="62">
        <f>TobComp[[#This Row],[Retail Density of County]]*48</f>
        <v>14.67024128686327</v>
      </c>
      <c r="I27" s="1">
        <f>IF(TobComp[[#This Row],[Density * 48/weeks]] &lt;=0.5, 1, IF(TobComp[[#This Row],[Density * 48/weeks]] &lt;=2.5, 2, IF(TobComp[[#This Row],[Density * 48/weeks]] &lt;=40, 3, 4)))</f>
        <v>3</v>
      </c>
      <c r="J27" s="1">
        <f>IF(TobComp[[#This Row],[Density * 48/weeks]] &lt;=0.5, $O$2, IF(TobComp[[#This Row],[Density * 48/weeks]] &lt;=2.5, $O$3, IF(TobComp[[#This Row],[Density * 48/weeks]] &lt;=40, $O$4, $O$5)))</f>
        <v>35</v>
      </c>
    </row>
    <row r="28" spans="1:20" x14ac:dyDescent="0.2">
      <c r="A28" s="24">
        <v>6</v>
      </c>
      <c r="B28" s="1"/>
      <c r="C28" s="1" t="s">
        <v>232</v>
      </c>
      <c r="D28" s="1">
        <v>1363.3</v>
      </c>
      <c r="E28" s="61">
        <v>403</v>
      </c>
      <c r="F28" s="1">
        <f>TobComp[[#This Row],[Number of Retailers in County]]/TobComp[[#This Row],[County Land Mass (mi^2)]]</f>
        <v>0.29560624954155357</v>
      </c>
      <c r="G28" s="2"/>
      <c r="H28" s="62">
        <f>TobComp[[#This Row],[Retail Density of County]]*48</f>
        <v>14.189099977994571</v>
      </c>
      <c r="I28" s="1">
        <f>IF(TobComp[[#This Row],[Density * 48/weeks]] &lt;=0.5, 1, IF(TobComp[[#This Row],[Density * 48/weeks]] &lt;=2.5, 2, IF(TobComp[[#This Row],[Density * 48/weeks]] &lt;=40, 3, 4)))</f>
        <v>3</v>
      </c>
      <c r="J28" s="1">
        <f>IF(TobComp[[#This Row],[Density * 48/weeks]] &lt;=0.5, $O$2, IF(TobComp[[#This Row],[Density * 48/weeks]] &lt;=2.5, $O$3, IF(TobComp[[#This Row],[Density * 48/weeks]] &lt;=40, $O$4, $O$5)))</f>
        <v>35</v>
      </c>
    </row>
    <row r="29" spans="1:20" x14ac:dyDescent="0.2">
      <c r="A29" s="24">
        <v>2</v>
      </c>
      <c r="B29" s="1"/>
      <c r="C29" s="1" t="s">
        <v>233</v>
      </c>
      <c r="D29" s="1">
        <v>627.6</v>
      </c>
      <c r="E29" s="61">
        <v>178</v>
      </c>
      <c r="F29" s="1">
        <f>TobComp[[#This Row],[Number of Retailers in County]]/TobComp[[#This Row],[County Land Mass (mi^2)]]</f>
        <v>0.28362014021669851</v>
      </c>
      <c r="G29" s="2"/>
      <c r="H29" s="62">
        <f>TobComp[[#This Row],[Retail Density of County]]*48</f>
        <v>13.61376673040153</v>
      </c>
      <c r="I29" s="1">
        <f>IF(TobComp[[#This Row],[Density * 48/weeks]] &lt;=0.5, 1, IF(TobComp[[#This Row],[Density * 48/weeks]] &lt;=2.5, 2, IF(TobComp[[#This Row],[Density * 48/weeks]] &lt;=40, 3, 4)))</f>
        <v>3</v>
      </c>
      <c r="J29" s="1">
        <f>IF(TobComp[[#This Row],[Density * 48/weeks]] &lt;=0.5, $O$2, IF(TobComp[[#This Row],[Density * 48/weeks]] &lt;=2.5, $O$3, IF(TobComp[[#This Row],[Density * 48/weeks]] &lt;=40, $O$4, $O$5)))</f>
        <v>35</v>
      </c>
    </row>
    <row r="30" spans="1:20" x14ac:dyDescent="0.2">
      <c r="A30" s="24">
        <v>3</v>
      </c>
      <c r="B30" s="1"/>
      <c r="C30" s="1" t="s">
        <v>234</v>
      </c>
      <c r="D30" s="1">
        <v>724.8</v>
      </c>
      <c r="E30" s="61">
        <v>180</v>
      </c>
      <c r="F30" s="1">
        <f>TobComp[[#This Row],[Number of Retailers in County]]/TobComp[[#This Row],[County Land Mass (mi^2)]]</f>
        <v>0.24834437086092717</v>
      </c>
      <c r="G30" s="2"/>
      <c r="H30" s="62">
        <f>TobComp[[#This Row],[Retail Density of County]]*48</f>
        <v>11.920529801324504</v>
      </c>
      <c r="I30" s="1">
        <f>IF(TobComp[[#This Row],[Density * 48/weeks]] &lt;=0.5, 1, IF(TobComp[[#This Row],[Density * 48/weeks]] &lt;=2.5, 2, IF(TobComp[[#This Row],[Density * 48/weeks]] &lt;=40, 3, 4)))</f>
        <v>3</v>
      </c>
      <c r="J30" s="1">
        <f>IF(TobComp[[#This Row],[Density * 48/weeks]] &lt;=0.5, $O$2, IF(TobComp[[#This Row],[Density * 48/weeks]] &lt;=2.5, $O$3, IF(TobComp[[#This Row],[Density * 48/weeks]] &lt;=40, $O$4, $O$5)))</f>
        <v>35</v>
      </c>
    </row>
    <row r="31" spans="1:20" x14ac:dyDescent="0.2">
      <c r="A31" s="24">
        <v>9</v>
      </c>
      <c r="B31" s="1"/>
      <c r="C31" s="1" t="s">
        <v>235</v>
      </c>
      <c r="D31" s="1">
        <v>897.9</v>
      </c>
      <c r="E31" s="61">
        <v>221</v>
      </c>
      <c r="F31" s="1">
        <f>TobComp[[#This Row],[Number of Retailers in County]]/TobComp[[#This Row],[County Land Mass (mi^2)]]</f>
        <v>0.24612985855885958</v>
      </c>
      <c r="G31" s="2"/>
      <c r="H31" s="62">
        <f>TobComp[[#This Row],[Retail Density of County]]*48</f>
        <v>11.814233210825259</v>
      </c>
      <c r="I31" s="1">
        <f>IF(TobComp[[#This Row],[Density * 48/weeks]] &lt;=0.5, 1, IF(TobComp[[#This Row],[Density * 48/weeks]] &lt;=2.5, 2, IF(TobComp[[#This Row],[Density * 48/weeks]] &lt;=40, 3, 4)))</f>
        <v>3</v>
      </c>
      <c r="J31" s="1">
        <f>IF(TobComp[[#This Row],[Density * 48/weeks]] &lt;=0.5, $O$2, IF(TobComp[[#This Row],[Density * 48/weeks]] &lt;=2.5, $O$3, IF(TobComp[[#This Row],[Density * 48/weeks]] &lt;=40, $O$4, $O$5)))</f>
        <v>35</v>
      </c>
    </row>
    <row r="32" spans="1:20" x14ac:dyDescent="0.2">
      <c r="A32" s="24">
        <v>9</v>
      </c>
      <c r="B32" s="1"/>
      <c r="C32" s="1" t="s">
        <v>236</v>
      </c>
      <c r="D32" s="1">
        <v>900.4</v>
      </c>
      <c r="E32" s="61">
        <v>194</v>
      </c>
      <c r="F32" s="1">
        <f>TobComp[[#This Row],[Number of Retailers in County]]/TobComp[[#This Row],[County Land Mass (mi^2)]]</f>
        <v>0.2154597956463794</v>
      </c>
      <c r="G32" s="2"/>
      <c r="H32" s="62">
        <f>TobComp[[#This Row],[Retail Density of County]]*48</f>
        <v>10.342070191026211</v>
      </c>
      <c r="I32" s="1">
        <f>IF(TobComp[[#This Row],[Density * 48/weeks]] &lt;=0.5, 1, IF(TobComp[[#This Row],[Density * 48/weeks]] &lt;=2.5, 2, IF(TobComp[[#This Row],[Density * 48/weeks]] &lt;=40, 3, 4)))</f>
        <v>3</v>
      </c>
      <c r="J32" s="1">
        <f>IF(TobComp[[#This Row],[Density * 48/weeks]] &lt;=0.5, $O$2, IF(TobComp[[#This Row],[Density * 48/weeks]] &lt;=2.5, $O$3, IF(TobComp[[#This Row],[Density * 48/weeks]] &lt;=40, $O$4, $O$5)))</f>
        <v>35</v>
      </c>
    </row>
    <row r="33" spans="1:10" x14ac:dyDescent="0.2">
      <c r="A33" s="24">
        <v>3</v>
      </c>
      <c r="B33" s="1"/>
      <c r="C33" s="1" t="s">
        <v>237</v>
      </c>
      <c r="D33" s="1">
        <v>932.8</v>
      </c>
      <c r="E33" s="61">
        <v>199</v>
      </c>
      <c r="F33" s="1">
        <f>TobComp[[#This Row],[Number of Retailers in County]]/TobComp[[#This Row],[County Land Mass (mi^2)]]</f>
        <v>0.21333619210977703</v>
      </c>
      <c r="G33" s="2"/>
      <c r="H33" s="62">
        <f>TobComp[[#This Row],[Retail Density of County]]*48</f>
        <v>10.240137221269297</v>
      </c>
      <c r="I33" s="1">
        <f>IF(TobComp[[#This Row],[Density * 48/weeks]] &lt;=0.5, 1, IF(TobComp[[#This Row],[Density * 48/weeks]] &lt;=2.5, 2, IF(TobComp[[#This Row],[Density * 48/weeks]] &lt;=40, 3, 4)))</f>
        <v>3</v>
      </c>
      <c r="J33" s="1">
        <f>IF(TobComp[[#This Row],[Density * 48/weeks]] &lt;=0.5, $O$2, IF(TobComp[[#This Row],[Density * 48/weeks]] &lt;=2.5, $O$3, IF(TobComp[[#This Row],[Density * 48/weeks]] &lt;=40, $O$4, $O$5)))</f>
        <v>35</v>
      </c>
    </row>
    <row r="34" spans="1:10" x14ac:dyDescent="0.2">
      <c r="A34" s="24">
        <v>2</v>
      </c>
      <c r="B34" s="1"/>
      <c r="C34" s="1" t="s">
        <v>238</v>
      </c>
      <c r="D34" s="1">
        <v>915.5</v>
      </c>
      <c r="E34" s="61">
        <v>190</v>
      </c>
      <c r="F34" s="1">
        <f>TobComp[[#This Row],[Number of Retailers in County]]/TobComp[[#This Row],[County Land Mass (mi^2)]]</f>
        <v>0.20753686510103769</v>
      </c>
      <c r="G34" s="2"/>
      <c r="H34" s="62">
        <f>TobComp[[#This Row],[Retail Density of County]]*48</f>
        <v>9.9617695248498102</v>
      </c>
      <c r="I34" s="1">
        <f>IF(TobComp[[#This Row],[Density * 48/weeks]] &lt;=0.5, 1, IF(TobComp[[#This Row],[Density * 48/weeks]] &lt;=2.5, 2, IF(TobComp[[#This Row],[Density * 48/weeks]] &lt;=40, 3, 4)))</f>
        <v>3</v>
      </c>
      <c r="J34" s="1">
        <f>IF(TobComp[[#This Row],[Density * 48/weeks]] &lt;=0.5, $O$2, IF(TobComp[[#This Row],[Density * 48/weeks]] &lt;=2.5, $O$3, IF(TobComp[[#This Row],[Density * 48/weeks]] &lt;=40, $O$4, $O$5)))</f>
        <v>35</v>
      </c>
    </row>
    <row r="35" spans="1:10" x14ac:dyDescent="0.2">
      <c r="A35" s="24">
        <v>1</v>
      </c>
      <c r="B35" s="1"/>
      <c r="C35" s="1" t="s">
        <v>239</v>
      </c>
      <c r="D35" s="1">
        <v>908.4</v>
      </c>
      <c r="E35" s="61">
        <v>188</v>
      </c>
      <c r="F35" s="1">
        <f>TobComp[[#This Row],[Number of Retailers in County]]/TobComp[[#This Row],[County Land Mass (mi^2)]]</f>
        <v>0.20695728753852929</v>
      </c>
      <c r="G35" s="2"/>
      <c r="H35" s="62">
        <f>TobComp[[#This Row],[Retail Density of County]]*48</f>
        <v>9.9339498018494066</v>
      </c>
      <c r="I35" s="1">
        <f>IF(TobComp[[#This Row],[Density * 48/weeks]] &lt;=0.5, 1, IF(TobComp[[#This Row],[Density * 48/weeks]] &lt;=2.5, 2, IF(TobComp[[#This Row],[Density * 48/weeks]] &lt;=40, 3, 4)))</f>
        <v>3</v>
      </c>
      <c r="J35" s="1">
        <f>IF(TobComp[[#This Row],[Density * 48/weeks]] &lt;=0.5, $O$2, IF(TobComp[[#This Row],[Density * 48/weeks]] &lt;=2.5, $O$3, IF(TobComp[[#This Row],[Density * 48/weeks]] &lt;=40, $O$4, $O$5)))</f>
        <v>35</v>
      </c>
    </row>
    <row r="36" spans="1:10" x14ac:dyDescent="0.2">
      <c r="A36" s="24">
        <v>3</v>
      </c>
      <c r="B36" s="1"/>
      <c r="C36" s="1" t="s">
        <v>240</v>
      </c>
      <c r="D36" s="1">
        <v>420.7</v>
      </c>
      <c r="E36" s="61">
        <v>87</v>
      </c>
      <c r="F36" s="1">
        <f>TobComp[[#This Row],[Number of Retailers in County]]/TobComp[[#This Row],[County Land Mass (mi^2)]]</f>
        <v>0.2067981934870454</v>
      </c>
      <c r="G36" s="2"/>
      <c r="H36" s="62">
        <f>TobComp[[#This Row],[Retail Density of County]]*48</f>
        <v>9.9263132873781785</v>
      </c>
      <c r="I36" s="1">
        <f>IF(TobComp[[#This Row],[Density * 48/weeks]] &lt;=0.5, 1, IF(TobComp[[#This Row],[Density * 48/weeks]] &lt;=2.5, 2, IF(TobComp[[#This Row],[Density * 48/weeks]] &lt;=40, 3, 4)))</f>
        <v>3</v>
      </c>
      <c r="J36" s="1">
        <f>IF(TobComp[[#This Row],[Density * 48/weeks]] &lt;=0.5, $O$2, IF(TobComp[[#This Row],[Density * 48/weeks]] &lt;=2.5, $O$3, IF(TobComp[[#This Row],[Density * 48/weeks]] &lt;=40, $O$4, $O$5)))</f>
        <v>35</v>
      </c>
    </row>
    <row r="37" spans="1:10" x14ac:dyDescent="0.2">
      <c r="A37" s="24">
        <v>8</v>
      </c>
      <c r="B37" s="1"/>
      <c r="C37" s="1" t="s">
        <v>241</v>
      </c>
      <c r="D37" s="1">
        <v>711.3</v>
      </c>
      <c r="E37" s="61">
        <v>146</v>
      </c>
      <c r="F37" s="1">
        <f>TobComp[[#This Row],[Number of Retailers in County]]/TobComp[[#This Row],[County Land Mass (mi^2)]]</f>
        <v>0.20525797834950094</v>
      </c>
      <c r="G37" s="2"/>
      <c r="H37" s="62">
        <f>TobComp[[#This Row],[Retail Density of County]]*48</f>
        <v>9.852382960776044</v>
      </c>
      <c r="I37" s="1">
        <f>IF(TobComp[[#This Row],[Density * 48/weeks]] &lt;=0.5, 1, IF(TobComp[[#This Row],[Density * 48/weeks]] &lt;=2.5, 2, IF(TobComp[[#This Row],[Density * 48/weeks]] &lt;=40, 3, 4)))</f>
        <v>3</v>
      </c>
      <c r="J37" s="1">
        <f>IF(TobComp[[#This Row],[Density * 48/weeks]] &lt;=0.5, $O$2, IF(TobComp[[#This Row],[Density * 48/weeks]] &lt;=2.5, $O$3, IF(TobComp[[#This Row],[Density * 48/weeks]] &lt;=40, $O$4, $O$5)))</f>
        <v>35</v>
      </c>
    </row>
    <row r="38" spans="1:10" x14ac:dyDescent="0.2">
      <c r="A38" s="24">
        <v>3</v>
      </c>
      <c r="B38" s="1"/>
      <c r="C38" s="1" t="s">
        <v>242</v>
      </c>
      <c r="D38" s="1">
        <v>780.8</v>
      </c>
      <c r="E38" s="61">
        <v>154</v>
      </c>
      <c r="F38" s="1">
        <f>TobComp[[#This Row],[Number of Retailers in County]]/TobComp[[#This Row],[County Land Mass (mi^2)]]</f>
        <v>0.19723360655737707</v>
      </c>
      <c r="G38" s="2"/>
      <c r="H38" s="62">
        <f>TobComp[[#This Row],[Retail Density of County]]*48</f>
        <v>9.4672131147540988</v>
      </c>
      <c r="I38" s="1">
        <f>IF(TobComp[[#This Row],[Density * 48/weeks]] &lt;=0.5, 1, IF(TobComp[[#This Row],[Density * 48/weeks]] &lt;=2.5, 2, IF(TobComp[[#This Row],[Density * 48/weeks]] &lt;=40, 3, 4)))</f>
        <v>3</v>
      </c>
      <c r="J38" s="1">
        <f>IF(TobComp[[#This Row],[Density * 48/weeks]] &lt;=0.5, $O$2, IF(TobComp[[#This Row],[Density * 48/weeks]] &lt;=2.5, $O$3, IF(TobComp[[#This Row],[Density * 48/weeks]] &lt;=40, $O$4, $O$5)))</f>
        <v>35</v>
      </c>
    </row>
    <row r="39" spans="1:10" x14ac:dyDescent="0.2">
      <c r="A39" s="24">
        <v>3</v>
      </c>
      <c r="B39" s="1"/>
      <c r="C39" s="1" t="s">
        <v>243</v>
      </c>
      <c r="D39" s="1">
        <v>935.8</v>
      </c>
      <c r="E39" s="61">
        <v>176</v>
      </c>
      <c r="F39" s="1">
        <f>TobComp[[#This Row],[Number of Retailers in County]]/TobComp[[#This Row],[County Land Mass (mi^2)]]</f>
        <v>0.18807437486642445</v>
      </c>
      <c r="G39" s="2"/>
      <c r="H39" s="62">
        <f>TobComp[[#This Row],[Retail Density of County]]*48</f>
        <v>9.027569993588374</v>
      </c>
      <c r="I39" s="1">
        <f>IF(TobComp[[#This Row],[Density * 48/weeks]] &lt;=0.5, 1, IF(TobComp[[#This Row],[Density * 48/weeks]] &lt;=2.5, 2, IF(TobComp[[#This Row],[Density * 48/weeks]] &lt;=40, 3, 4)))</f>
        <v>3</v>
      </c>
      <c r="J39" s="1">
        <f>IF(TobComp[[#This Row],[Density * 48/weeks]] &lt;=0.5, $O$2, IF(TobComp[[#This Row],[Density * 48/weeks]] &lt;=2.5, $O$3, IF(TobComp[[#This Row],[Density * 48/weeks]] &lt;=40, $O$4, $O$5)))</f>
        <v>35</v>
      </c>
    </row>
    <row r="40" spans="1:10" x14ac:dyDescent="0.2">
      <c r="A40" s="24">
        <v>4</v>
      </c>
      <c r="B40" s="1"/>
      <c r="C40" s="1" t="s">
        <v>244</v>
      </c>
      <c r="D40" s="1">
        <v>873.8</v>
      </c>
      <c r="E40" s="61">
        <v>158</v>
      </c>
      <c r="F40" s="1">
        <f>TobComp[[#This Row],[Number of Retailers in County]]/TobComp[[#This Row],[County Land Mass (mi^2)]]</f>
        <v>0.18081940947585259</v>
      </c>
      <c r="G40" s="2"/>
      <c r="H40" s="62">
        <f>TobComp[[#This Row],[Retail Density of County]]*48</f>
        <v>8.6793316548409241</v>
      </c>
      <c r="I40" s="1">
        <f>IF(TobComp[[#This Row],[Density * 48/weeks]] &lt;=0.5, 1, IF(TobComp[[#This Row],[Density * 48/weeks]] &lt;=2.5, 2, IF(TobComp[[#This Row],[Density * 48/weeks]] &lt;=40, 3, 4)))</f>
        <v>3</v>
      </c>
      <c r="J40" s="1">
        <f>IF(TobComp[[#This Row],[Density * 48/weeks]] &lt;=0.5, $O$2, IF(TobComp[[#This Row],[Density * 48/weeks]] &lt;=2.5, $O$3, IF(TobComp[[#This Row],[Density * 48/weeks]] &lt;=40, $O$4, $O$5)))</f>
        <v>35</v>
      </c>
    </row>
    <row r="41" spans="1:10" x14ac:dyDescent="0.2">
      <c r="A41" s="24">
        <v>3</v>
      </c>
      <c r="B41" s="1"/>
      <c r="C41" s="1" t="s">
        <v>245</v>
      </c>
      <c r="D41" s="1">
        <v>903.7</v>
      </c>
      <c r="E41" s="61">
        <v>156</v>
      </c>
      <c r="F41" s="1">
        <f>TobComp[[#This Row],[Number of Retailers in County]]/TobComp[[#This Row],[County Land Mass (mi^2)]]</f>
        <v>0.17262365829368151</v>
      </c>
      <c r="G41" s="2"/>
      <c r="H41" s="62">
        <f>TobComp[[#This Row],[Retail Density of County]]*48</f>
        <v>8.285935598096712</v>
      </c>
      <c r="I41" s="1">
        <f>IF(TobComp[[#This Row],[Density * 48/weeks]] &lt;=0.5, 1, IF(TobComp[[#This Row],[Density * 48/weeks]] &lt;=2.5, 2, IF(TobComp[[#This Row],[Density * 48/weeks]] &lt;=40, 3, 4)))</f>
        <v>3</v>
      </c>
      <c r="J41" s="1">
        <f>IF(TobComp[[#This Row],[Density * 48/weeks]] &lt;=0.5, $O$2, IF(TobComp[[#This Row],[Density * 48/weeks]] &lt;=2.5, $O$3, IF(TobComp[[#This Row],[Density * 48/weeks]] &lt;=40, $O$4, $O$5)))</f>
        <v>35</v>
      </c>
    </row>
    <row r="42" spans="1:10" x14ac:dyDescent="0.2">
      <c r="A42" s="24">
        <v>3</v>
      </c>
      <c r="B42" s="1"/>
      <c r="C42" s="1" t="s">
        <v>246</v>
      </c>
      <c r="D42" s="1">
        <v>840.4</v>
      </c>
      <c r="E42" s="61">
        <v>145</v>
      </c>
      <c r="F42" s="1">
        <f>TobComp[[#This Row],[Number of Retailers in County]]/TobComp[[#This Row],[County Land Mass (mi^2)]]</f>
        <v>0.17253688719657306</v>
      </c>
      <c r="G42" s="2"/>
      <c r="H42" s="62">
        <f>TobComp[[#This Row],[Retail Density of County]]*48</f>
        <v>8.2817705854355061</v>
      </c>
      <c r="I42" s="1">
        <f>IF(TobComp[[#This Row],[Density * 48/weeks]] &lt;=0.5, 1, IF(TobComp[[#This Row],[Density * 48/weeks]] &lt;=2.5, 2, IF(TobComp[[#This Row],[Density * 48/weeks]] &lt;=40, 3, 4)))</f>
        <v>3</v>
      </c>
      <c r="J42" s="1">
        <f>IF(TobComp[[#This Row],[Density * 48/weeks]] &lt;=0.5, $O$2, IF(TobComp[[#This Row],[Density * 48/weeks]] &lt;=2.5, $O$3, IF(TobComp[[#This Row],[Density * 48/weeks]] &lt;=40, $O$4, $O$5)))</f>
        <v>35</v>
      </c>
    </row>
    <row r="43" spans="1:10" x14ac:dyDescent="0.2">
      <c r="A43" s="24">
        <v>11</v>
      </c>
      <c r="B43" s="1"/>
      <c r="C43" t="s">
        <v>247</v>
      </c>
      <c r="D43" s="1">
        <v>252.1</v>
      </c>
      <c r="E43" s="61">
        <v>43</v>
      </c>
      <c r="F43" s="1">
        <f>TobComp[[#This Row],[Number of Retailers in County]]/TobComp[[#This Row],[County Land Mass (mi^2)]]</f>
        <v>0.17056723522411743</v>
      </c>
      <c r="G43" s="2"/>
      <c r="H43" s="62">
        <f>TobComp[[#This Row],[Retail Density of County]]*48</f>
        <v>8.1872272907576367</v>
      </c>
      <c r="I43" s="1">
        <f>IF(TobComp[[#This Row],[Density * 48/weeks]] &lt;=0.5, 1, IF(TobComp[[#This Row],[Density * 48/weeks]] &lt;=2.5, 2, IF(TobComp[[#This Row],[Density * 48/weeks]] &lt;=40, 3, 4)))</f>
        <v>3</v>
      </c>
      <c r="J43" s="1">
        <f>IF(TobComp[[#This Row],[Density * 48/weeks]] &lt;=0.5, $O$2, IF(TobComp[[#This Row],[Density * 48/weeks]] &lt;=2.5, $O$3, IF(TobComp[[#This Row],[Density * 48/weeks]] &lt;=40, $O$4, $O$5)))</f>
        <v>35</v>
      </c>
    </row>
    <row r="44" spans="1:10" x14ac:dyDescent="0.2">
      <c r="A44" s="24">
        <v>6</v>
      </c>
      <c r="B44" s="1"/>
      <c r="C44" s="1" t="s">
        <v>248</v>
      </c>
      <c r="D44" s="1">
        <v>513.29999999999995</v>
      </c>
      <c r="E44" s="61">
        <v>80</v>
      </c>
      <c r="F44" s="1">
        <f>TobComp[[#This Row],[Number of Retailers in County]]/TobComp[[#This Row],[County Land Mass (mi^2)]]</f>
        <v>0.15585427625170467</v>
      </c>
      <c r="G44" s="2"/>
      <c r="H44" s="62">
        <f>TobComp[[#This Row],[Retail Density of County]]*48</f>
        <v>7.4810052600818242</v>
      </c>
      <c r="I44" s="1">
        <f>IF(TobComp[[#This Row],[Density * 48/weeks]] &lt;=0.5, 1, IF(TobComp[[#This Row],[Density * 48/weeks]] &lt;=2.5, 2, IF(TobComp[[#This Row],[Density * 48/weeks]] &lt;=40, 3, 4)))</f>
        <v>3</v>
      </c>
      <c r="J44" s="1">
        <f>IF(TobComp[[#This Row],[Density * 48/weeks]] &lt;=0.5, $O$2, IF(TobComp[[#This Row],[Density * 48/weeks]] &lt;=2.5, $O$3, IF(TobComp[[#This Row],[Density * 48/weeks]] &lt;=40, $O$4, $O$5)))</f>
        <v>35</v>
      </c>
    </row>
    <row r="45" spans="1:10" x14ac:dyDescent="0.2">
      <c r="A45" s="24">
        <v>4</v>
      </c>
      <c r="B45" s="1"/>
      <c r="C45" s="1" t="s">
        <v>249</v>
      </c>
      <c r="D45" s="1">
        <v>884.9</v>
      </c>
      <c r="E45" s="61">
        <v>136</v>
      </c>
      <c r="F45" s="1">
        <f>TobComp[[#This Row],[Number of Retailers in County]]/TobComp[[#This Row],[County Land Mass (mi^2)]]</f>
        <v>0.15368968244999434</v>
      </c>
      <c r="G45" s="2"/>
      <c r="H45" s="62">
        <f>TobComp[[#This Row],[Retail Density of County]]*48</f>
        <v>7.3771047575997279</v>
      </c>
      <c r="I45" s="1">
        <f>IF(TobComp[[#This Row],[Density * 48/weeks]] &lt;=0.5, 1, IF(TobComp[[#This Row],[Density * 48/weeks]] &lt;=2.5, 2, IF(TobComp[[#This Row],[Density * 48/weeks]] &lt;=40, 3, 4)))</f>
        <v>3</v>
      </c>
      <c r="J45" s="1">
        <f>IF(TobComp[[#This Row],[Density * 48/weeks]] &lt;=0.5, $O$2, IF(TobComp[[#This Row],[Density * 48/weeks]] &lt;=2.5, $O$3, IF(TobComp[[#This Row],[Density * 48/weeks]] &lt;=40, $O$4, $O$5)))</f>
        <v>35</v>
      </c>
    </row>
    <row r="46" spans="1:10" x14ac:dyDescent="0.2">
      <c r="A46" s="24">
        <v>11</v>
      </c>
      <c r="B46" s="1"/>
      <c r="C46" s="1" t="s">
        <v>250</v>
      </c>
      <c r="D46" s="1">
        <v>693.4</v>
      </c>
      <c r="E46" s="61">
        <v>104</v>
      </c>
      <c r="F46" s="1">
        <f>TobComp[[#This Row],[Number of Retailers in County]]/TobComp[[#This Row],[County Land Mass (mi^2)]]</f>
        <v>0.14998557830977791</v>
      </c>
      <c r="G46" s="2"/>
      <c r="H46" s="62">
        <f>TobComp[[#This Row],[Retail Density of County]]*48</f>
        <v>7.1993077588693399</v>
      </c>
      <c r="I46" s="1">
        <f>IF(TobComp[[#This Row],[Density * 48/weeks]] &lt;=0.5, 1, IF(TobComp[[#This Row],[Density * 48/weeks]] &lt;=2.5, 2, IF(TobComp[[#This Row],[Density * 48/weeks]] &lt;=40, 3, 4)))</f>
        <v>3</v>
      </c>
      <c r="J46" s="1">
        <f>IF(TobComp[[#This Row],[Density * 48/weeks]] &lt;=0.5, $O$2, IF(TobComp[[#This Row],[Density * 48/weeks]] &lt;=2.5, $O$3, IF(TobComp[[#This Row],[Density * 48/weeks]] &lt;=40, $O$4, $O$5)))</f>
        <v>35</v>
      </c>
    </row>
    <row r="47" spans="1:10" x14ac:dyDescent="0.2">
      <c r="A47" s="24">
        <v>5</v>
      </c>
      <c r="B47" s="1"/>
      <c r="C47" t="s">
        <v>251</v>
      </c>
      <c r="D47" s="1">
        <v>797.9</v>
      </c>
      <c r="E47" s="61">
        <v>116</v>
      </c>
      <c r="F47" s="1">
        <f>TobComp[[#This Row],[Number of Retailers in County]]/TobComp[[#This Row],[County Land Mass (mi^2)]]</f>
        <v>0.14538162677027197</v>
      </c>
      <c r="G47" s="2"/>
      <c r="H47" s="62">
        <f>TobComp[[#This Row],[Retail Density of County]]*48</f>
        <v>6.9783180849730542</v>
      </c>
      <c r="I47" s="1">
        <f>IF(TobComp[[#This Row],[Density * 48/weeks]] &lt;=0.5, 1, IF(TobComp[[#This Row],[Density * 48/weeks]] &lt;=2.5, 2, IF(TobComp[[#This Row],[Density * 48/weeks]] &lt;=40, 3, 4)))</f>
        <v>3</v>
      </c>
      <c r="J47" s="1">
        <f>IF(TobComp[[#This Row],[Density * 48/weeks]] &lt;=0.5, $O$2, IF(TobComp[[#This Row],[Density * 48/weeks]] &lt;=2.5, $O$3, IF(TobComp[[#This Row],[Density * 48/weeks]] &lt;=40, $O$4, $O$5)))</f>
        <v>35</v>
      </c>
    </row>
    <row r="48" spans="1:10" x14ac:dyDescent="0.2">
      <c r="A48" s="24">
        <v>8</v>
      </c>
      <c r="B48" s="1"/>
      <c r="C48" s="1" t="s">
        <v>252</v>
      </c>
      <c r="D48" s="1">
        <v>882.1</v>
      </c>
      <c r="E48" s="61">
        <v>127</v>
      </c>
      <c r="F48" s="1">
        <f>TobComp[[#This Row],[Number of Retailers in County]]/TobComp[[#This Row],[County Land Mass (mi^2)]]</f>
        <v>0.14397460605373541</v>
      </c>
      <c r="G48" s="2"/>
      <c r="H48" s="62">
        <f>TobComp[[#This Row],[Retail Density of County]]*48</f>
        <v>6.9107810905792997</v>
      </c>
      <c r="I48" s="1">
        <f>IF(TobComp[[#This Row],[Density * 48/weeks]] &lt;=0.5, 1, IF(TobComp[[#This Row],[Density * 48/weeks]] &lt;=2.5, 2, IF(TobComp[[#This Row],[Density * 48/weeks]] &lt;=40, 3, 4)))</f>
        <v>3</v>
      </c>
      <c r="J48" s="1">
        <f>IF(TobComp[[#This Row],[Density * 48/weeks]] &lt;=0.5, $O$2, IF(TobComp[[#This Row],[Density * 48/weeks]] &lt;=2.5, $O$3, IF(TobComp[[#This Row],[Density * 48/weeks]] &lt;=40, $O$4, $O$5)))</f>
        <v>35</v>
      </c>
    </row>
    <row r="49" spans="1:10" x14ac:dyDescent="0.2">
      <c r="A49" s="24">
        <v>6</v>
      </c>
      <c r="B49" s="1"/>
      <c r="C49" s="1" t="s">
        <v>253</v>
      </c>
      <c r="D49" s="1">
        <v>597.1</v>
      </c>
      <c r="E49" s="61">
        <v>83</v>
      </c>
      <c r="F49" s="1">
        <f>TobComp[[#This Row],[Number of Retailers in County]]/TobComp[[#This Row],[County Land Mass (mi^2)]]</f>
        <v>0.13900519176017417</v>
      </c>
      <c r="G49" s="2"/>
      <c r="H49" s="62">
        <f>TobComp[[#This Row],[Retail Density of County]]*48</f>
        <v>6.6722492044883603</v>
      </c>
      <c r="I49" s="1">
        <f>IF(TobComp[[#This Row],[Density * 48/weeks]] &lt;=0.5, 1, IF(TobComp[[#This Row],[Density * 48/weeks]] &lt;=2.5, 2, IF(TobComp[[#This Row],[Density * 48/weeks]] &lt;=40, 3, 4)))</f>
        <v>3</v>
      </c>
      <c r="J49" s="1">
        <f>IF(TobComp[[#This Row],[Density * 48/weeks]] &lt;=0.5, $O$2, IF(TobComp[[#This Row],[Density * 48/weeks]] &lt;=2.5, $O$3, IF(TobComp[[#This Row],[Density * 48/weeks]] &lt;=40, $O$4, $O$5)))</f>
        <v>35</v>
      </c>
    </row>
    <row r="50" spans="1:10" x14ac:dyDescent="0.2">
      <c r="A50" s="24">
        <v>7</v>
      </c>
      <c r="B50" s="1"/>
      <c r="C50" s="1" t="s">
        <v>254</v>
      </c>
      <c r="D50" s="1">
        <v>888.2</v>
      </c>
      <c r="E50" s="61">
        <v>123</v>
      </c>
      <c r="F50" s="1">
        <f>TobComp[[#This Row],[Number of Retailers in County]]/TobComp[[#This Row],[County Land Mass (mi^2)]]</f>
        <v>0.13848232380094572</v>
      </c>
      <c r="G50" s="2"/>
      <c r="H50" s="62">
        <f>TobComp[[#This Row],[Retail Density of County]]*48</f>
        <v>6.6471515424453944</v>
      </c>
      <c r="I50" s="1">
        <f>IF(TobComp[[#This Row],[Density * 48/weeks]] &lt;=0.5, 1, IF(TobComp[[#This Row],[Density * 48/weeks]] &lt;=2.5, 2, IF(TobComp[[#This Row],[Density * 48/weeks]] &lt;=40, 3, 4)))</f>
        <v>3</v>
      </c>
      <c r="J50" s="1">
        <f>IF(TobComp[[#This Row],[Density * 48/weeks]] &lt;=0.5, $O$2, IF(TobComp[[#This Row],[Density * 48/weeks]] &lt;=2.5, $O$3, IF(TobComp[[#This Row],[Density * 48/weeks]] &lt;=40, $O$4, $O$5)))</f>
        <v>35</v>
      </c>
    </row>
    <row r="51" spans="1:10" x14ac:dyDescent="0.2">
      <c r="A51" s="24">
        <v>6</v>
      </c>
      <c r="B51" s="1"/>
      <c r="C51" s="1" t="s">
        <v>255</v>
      </c>
      <c r="D51" s="1">
        <v>1158.4000000000001</v>
      </c>
      <c r="E51" s="61">
        <v>159</v>
      </c>
      <c r="F51" s="1">
        <f>TobComp[[#This Row],[Number of Retailers in County]]/TobComp[[#This Row],[County Land Mass (mi^2)]]</f>
        <v>0.13725828729281767</v>
      </c>
      <c r="G51" s="2"/>
      <c r="H51" s="62">
        <f>TobComp[[#This Row],[Retail Density of County]]*48</f>
        <v>6.5883977900552484</v>
      </c>
      <c r="I51" s="1">
        <f>IF(TobComp[[#This Row],[Density * 48/weeks]] &lt;=0.5, 1, IF(TobComp[[#This Row],[Density * 48/weeks]] &lt;=2.5, 2, IF(TobComp[[#This Row],[Density * 48/weeks]] &lt;=40, 3, 4)))</f>
        <v>3</v>
      </c>
      <c r="J51" s="1">
        <f>IF(TobComp[[#This Row],[Density * 48/weeks]] &lt;=0.5, $O$2, IF(TobComp[[#This Row],[Density * 48/weeks]] &lt;=2.5, $O$3, IF(TobComp[[#This Row],[Density * 48/weeks]] &lt;=40, $O$4, $O$5)))</f>
        <v>35</v>
      </c>
    </row>
    <row r="52" spans="1:10" x14ac:dyDescent="0.2">
      <c r="A52" s="24">
        <v>1</v>
      </c>
      <c r="B52" s="1"/>
      <c r="C52" s="1" t="s">
        <v>256</v>
      </c>
      <c r="D52" s="1">
        <v>912.7</v>
      </c>
      <c r="E52" s="61">
        <v>115</v>
      </c>
      <c r="F52" s="1">
        <f>TobComp[[#This Row],[Number of Retailers in County]]/TobComp[[#This Row],[County Land Mass (mi^2)]]</f>
        <v>0.12599978086994632</v>
      </c>
      <c r="G52" s="2"/>
      <c r="H52" s="62">
        <f>TobComp[[#This Row],[Retail Density of County]]*48</f>
        <v>6.0479894817574227</v>
      </c>
      <c r="I52" s="1">
        <f>IF(TobComp[[#This Row],[Density * 48/weeks]] &lt;=0.5, 1, IF(TobComp[[#This Row],[Density * 48/weeks]] &lt;=2.5, 2, IF(TobComp[[#This Row],[Density * 48/weeks]] &lt;=40, 3, 4)))</f>
        <v>3</v>
      </c>
      <c r="J52" s="1">
        <f>IF(TobComp[[#This Row],[Density * 48/weeks]] &lt;=0.5, $O$2, IF(TobComp[[#This Row],[Density * 48/weeks]] &lt;=2.5, $O$3, IF(TobComp[[#This Row],[Density * 48/weeks]] &lt;=40, $O$4, $O$5)))</f>
        <v>35</v>
      </c>
    </row>
    <row r="53" spans="1:10" x14ac:dyDescent="0.2">
      <c r="A53" s="24">
        <v>4</v>
      </c>
      <c r="B53" s="1"/>
      <c r="C53" s="1" t="s">
        <v>257</v>
      </c>
      <c r="D53" s="1">
        <v>406.1</v>
      </c>
      <c r="E53" s="61">
        <v>49</v>
      </c>
      <c r="F53" s="1">
        <f>TobComp[[#This Row],[Number of Retailers in County]]/TobComp[[#This Row],[County Land Mass (mi^2)]]</f>
        <v>0.1206599359763605</v>
      </c>
      <c r="G53" s="2"/>
      <c r="H53" s="62">
        <f>TobComp[[#This Row],[Retail Density of County]]*48</f>
        <v>5.7916769268653043</v>
      </c>
      <c r="I53" s="1">
        <f>IF(TobComp[[#This Row],[Density * 48/weeks]] &lt;=0.5, 1, IF(TobComp[[#This Row],[Density * 48/weeks]] &lt;=2.5, 2, IF(TobComp[[#This Row],[Density * 48/weeks]] &lt;=40, 3, 4)))</f>
        <v>3</v>
      </c>
      <c r="J53" s="1">
        <f>IF(TobComp[[#This Row],[Density * 48/weeks]] &lt;=0.5, $O$2, IF(TobComp[[#This Row],[Density * 48/weeks]] &lt;=2.5, $O$3, IF(TobComp[[#This Row],[Density * 48/weeks]] &lt;=40, $O$4, $O$5)))</f>
        <v>35</v>
      </c>
    </row>
    <row r="54" spans="1:10" x14ac:dyDescent="0.2">
      <c r="A54" s="24">
        <v>4</v>
      </c>
      <c r="B54" s="1"/>
      <c r="C54" s="1" t="s">
        <v>258</v>
      </c>
      <c r="D54" s="1">
        <v>195.9</v>
      </c>
      <c r="E54" s="61">
        <v>23</v>
      </c>
      <c r="F54" s="1">
        <f>TobComp[[#This Row],[Number of Retailers in County]]/TobComp[[#This Row],[County Land Mass (mi^2)]]</f>
        <v>0.11740684022460439</v>
      </c>
      <c r="G54" s="2"/>
      <c r="H54" s="62">
        <f>TobComp[[#This Row],[Retail Density of County]]*48</f>
        <v>5.6355283307810105</v>
      </c>
      <c r="I54" s="1">
        <f>IF(TobComp[[#This Row],[Density * 48/weeks]] &lt;=0.5, 1, IF(TobComp[[#This Row],[Density * 48/weeks]] &lt;=2.5, 2, IF(TobComp[[#This Row],[Density * 48/weeks]] &lt;=40, 3, 4)))</f>
        <v>3</v>
      </c>
      <c r="J54" s="1">
        <f>IF(TobComp[[#This Row],[Density * 48/weeks]] &lt;=0.5, $O$2, IF(TobComp[[#This Row],[Density * 48/weeks]] &lt;=2.5, $O$3, IF(TobComp[[#This Row],[Density * 48/weeks]] &lt;=40, $O$4, $O$5)))</f>
        <v>35</v>
      </c>
    </row>
    <row r="55" spans="1:10" x14ac:dyDescent="0.2">
      <c r="A55" s="24">
        <v>5</v>
      </c>
      <c r="B55" s="1"/>
      <c r="C55" s="1" t="s">
        <v>259</v>
      </c>
      <c r="D55" s="1">
        <v>946.3</v>
      </c>
      <c r="E55" s="61">
        <v>111</v>
      </c>
      <c r="F55" s="1">
        <f>TobComp[[#This Row],[Number of Retailers in County]]/TobComp[[#This Row],[County Land Mass (mi^2)]]</f>
        <v>0.1172989538201416</v>
      </c>
      <c r="G55" s="2"/>
      <c r="H55" s="62">
        <f>TobComp[[#This Row],[Retail Density of County]]*48</f>
        <v>5.630349783366797</v>
      </c>
      <c r="I55" s="1">
        <f>IF(TobComp[[#This Row],[Density * 48/weeks]] &lt;=0.5, 1, IF(TobComp[[#This Row],[Density * 48/weeks]] &lt;=2.5, 2, IF(TobComp[[#This Row],[Density * 48/weeks]] &lt;=40, 3, 4)))</f>
        <v>3</v>
      </c>
      <c r="J55" s="1">
        <f>IF(TobComp[[#This Row],[Density * 48/weeks]] &lt;=0.5, $O$2, IF(TobComp[[#This Row],[Density * 48/weeks]] &lt;=2.5, $O$3, IF(TobComp[[#This Row],[Density * 48/weeks]] &lt;=40, $O$4, $O$5)))</f>
        <v>35</v>
      </c>
    </row>
    <row r="56" spans="1:10" x14ac:dyDescent="0.2">
      <c r="A56" s="24">
        <v>6</v>
      </c>
      <c r="B56" s="1"/>
      <c r="C56" s="1" t="s">
        <v>260</v>
      </c>
      <c r="D56" s="1">
        <v>784.2</v>
      </c>
      <c r="E56" s="61">
        <v>91</v>
      </c>
      <c r="F56" s="1">
        <f>TobComp[[#This Row],[Number of Retailers in County]]/TobComp[[#This Row],[County Land Mass (mi^2)]]</f>
        <v>0.11604182606477939</v>
      </c>
      <c r="G56" s="2"/>
      <c r="H56" s="62">
        <f>TobComp[[#This Row],[Retail Density of County]]*48</f>
        <v>5.5700076511094103</v>
      </c>
      <c r="I56" s="1">
        <f>IF(TobComp[[#This Row],[Density * 48/weeks]] &lt;=0.5, 1, IF(TobComp[[#This Row],[Density * 48/weeks]] &lt;=2.5, 2, IF(TobComp[[#This Row],[Density * 48/weeks]] &lt;=40, 3, 4)))</f>
        <v>3</v>
      </c>
      <c r="J56" s="1">
        <f>IF(TobComp[[#This Row],[Density * 48/weeks]] &lt;=0.5, $O$2, IF(TobComp[[#This Row],[Density * 48/weeks]] &lt;=2.5, $O$3, IF(TobComp[[#This Row],[Density * 48/weeks]] &lt;=40, $O$4, $O$5)))</f>
        <v>35</v>
      </c>
    </row>
    <row r="57" spans="1:10" x14ac:dyDescent="0.2">
      <c r="A57" s="24">
        <v>4</v>
      </c>
      <c r="B57" s="1"/>
      <c r="C57" s="1" t="s">
        <v>261</v>
      </c>
      <c r="D57" s="1">
        <v>645.20000000000005</v>
      </c>
      <c r="E57" s="61">
        <v>74</v>
      </c>
      <c r="F57" s="1">
        <f>TobComp[[#This Row],[Number of Retailers in County]]/TobComp[[#This Row],[County Land Mass (mi^2)]]</f>
        <v>0.11469311841289521</v>
      </c>
      <c r="G57" s="2"/>
      <c r="H57" s="62">
        <f>TobComp[[#This Row],[Retail Density of County]]*48</f>
        <v>5.5052696838189705</v>
      </c>
      <c r="I57" s="1">
        <f>IF(TobComp[[#This Row],[Density * 48/weeks]] &lt;=0.5, 1, IF(TobComp[[#This Row],[Density * 48/weeks]] &lt;=2.5, 2, IF(TobComp[[#This Row],[Density * 48/weeks]] &lt;=40, 3, 4)))</f>
        <v>3</v>
      </c>
      <c r="J57" s="1">
        <f>IF(TobComp[[#This Row],[Density * 48/weeks]] &lt;=0.5, $O$2, IF(TobComp[[#This Row],[Density * 48/weeks]] &lt;=2.5, $O$3, IF(TobComp[[#This Row],[Density * 48/weeks]] &lt;=40, $O$4, $O$5)))</f>
        <v>35</v>
      </c>
    </row>
    <row r="58" spans="1:10" x14ac:dyDescent="0.2">
      <c r="A58" s="24">
        <v>4</v>
      </c>
      <c r="B58" s="1"/>
      <c r="C58" s="1" t="s">
        <v>262</v>
      </c>
      <c r="D58" s="1">
        <v>900.1</v>
      </c>
      <c r="E58" s="61">
        <v>100</v>
      </c>
      <c r="F58" s="1">
        <f>TobComp[[#This Row],[Number of Retailers in County]]/TobComp[[#This Row],[County Land Mass (mi^2)]]</f>
        <v>0.11109876680368848</v>
      </c>
      <c r="G58" s="2"/>
      <c r="H58" s="62">
        <f>TobComp[[#This Row],[Retail Density of County]]*48</f>
        <v>5.3327408065770472</v>
      </c>
      <c r="I58" s="1">
        <f>IF(TobComp[[#This Row],[Density * 48/weeks]] &lt;=0.5, 1, IF(TobComp[[#This Row],[Density * 48/weeks]] &lt;=2.5, 2, IF(TobComp[[#This Row],[Density * 48/weeks]] &lt;=40, 3, 4)))</f>
        <v>3</v>
      </c>
      <c r="J58" s="1">
        <f>IF(TobComp[[#This Row],[Density * 48/weeks]] &lt;=0.5, $O$2, IF(TobComp[[#This Row],[Density * 48/weeks]] &lt;=2.5, $O$3, IF(TobComp[[#This Row],[Density * 48/weeks]] &lt;=40, $O$4, $O$5)))</f>
        <v>35</v>
      </c>
    </row>
    <row r="59" spans="1:10" x14ac:dyDescent="0.2">
      <c r="A59" s="24">
        <v>5</v>
      </c>
      <c r="B59" s="1"/>
      <c r="C59" s="1" t="s">
        <v>263</v>
      </c>
      <c r="D59" s="1">
        <v>890.6</v>
      </c>
      <c r="E59" s="61">
        <v>96</v>
      </c>
      <c r="F59" s="1">
        <f>TobComp[[#This Row],[Number of Retailers in County]]/TobComp[[#This Row],[County Land Mass (mi^2)]]</f>
        <v>0.10779249943858073</v>
      </c>
      <c r="G59" s="2"/>
      <c r="H59" s="62">
        <f>TobComp[[#This Row],[Retail Density of County]]*48</f>
        <v>5.1740399730518751</v>
      </c>
      <c r="I59" s="1">
        <f>IF(TobComp[[#This Row],[Density * 48/weeks]] &lt;=0.5, 1, IF(TobComp[[#This Row],[Density * 48/weeks]] &lt;=2.5, 2, IF(TobComp[[#This Row],[Density * 48/weeks]] &lt;=40, 3, 4)))</f>
        <v>3</v>
      </c>
      <c r="J59" s="1">
        <f>IF(TobComp[[#This Row],[Density * 48/weeks]] &lt;=0.5, $O$2, IF(TobComp[[#This Row],[Density * 48/weeks]] &lt;=2.5, $O$3, IF(TobComp[[#This Row],[Density * 48/weeks]] &lt;=40, $O$4, $O$5)))</f>
        <v>35</v>
      </c>
    </row>
    <row r="60" spans="1:10" x14ac:dyDescent="0.2">
      <c r="A60" s="24">
        <v>3</v>
      </c>
      <c r="B60" s="1"/>
      <c r="C60" s="1" t="s">
        <v>264</v>
      </c>
      <c r="D60" s="1">
        <v>186.4</v>
      </c>
      <c r="E60" s="61">
        <v>20</v>
      </c>
      <c r="F60" s="1">
        <f>TobComp[[#This Row],[Number of Retailers in County]]/TobComp[[#This Row],[County Land Mass (mi^2)]]</f>
        <v>0.1072961373390558</v>
      </c>
      <c r="G60" s="2"/>
      <c r="H60" s="62">
        <f>TobComp[[#This Row],[Retail Density of County]]*48</f>
        <v>5.1502145922746783</v>
      </c>
      <c r="I60" s="1">
        <f>IF(TobComp[[#This Row],[Density * 48/weeks]] &lt;=0.5, 1, IF(TobComp[[#This Row],[Density * 48/weeks]] &lt;=2.5, 2, IF(TobComp[[#This Row],[Density * 48/weeks]] &lt;=40, 3, 4)))</f>
        <v>3</v>
      </c>
      <c r="J60" s="1">
        <f>IF(TobComp[[#This Row],[Density * 48/weeks]] &lt;=0.5, $O$2, IF(TobComp[[#This Row],[Density * 48/weeks]] &lt;=2.5, $O$3, IF(TobComp[[#This Row],[Density * 48/weeks]] &lt;=40, $O$4, $O$5)))</f>
        <v>35</v>
      </c>
    </row>
    <row r="61" spans="1:10" x14ac:dyDescent="0.2">
      <c r="A61" s="24">
        <v>7</v>
      </c>
      <c r="B61" s="1"/>
      <c r="C61" s="1" t="s">
        <v>265</v>
      </c>
      <c r="D61" s="1">
        <v>544.5</v>
      </c>
      <c r="E61" s="61">
        <v>57</v>
      </c>
      <c r="F61" s="1">
        <f>TobComp[[#This Row],[Number of Retailers in County]]/TobComp[[#This Row],[County Land Mass (mi^2)]]</f>
        <v>0.1046831955922865</v>
      </c>
      <c r="G61" s="2"/>
      <c r="H61" s="62">
        <f>TobComp[[#This Row],[Retail Density of County]]*48</f>
        <v>5.0247933884297522</v>
      </c>
      <c r="I61" s="1">
        <f>IF(TobComp[[#This Row],[Density * 48/weeks]] &lt;=0.5, 1, IF(TobComp[[#This Row],[Density * 48/weeks]] &lt;=2.5, 2, IF(TobComp[[#This Row],[Density * 48/weeks]] &lt;=40, 3, 4)))</f>
        <v>3</v>
      </c>
      <c r="J61" s="1">
        <f>IF(TobComp[[#This Row],[Density * 48/weeks]] &lt;=0.5, $O$2, IF(TobComp[[#This Row],[Density * 48/weeks]] &lt;=2.5, $O$3, IF(TobComp[[#This Row],[Density * 48/weeks]] &lt;=40, $O$4, $O$5)))</f>
        <v>35</v>
      </c>
    </row>
    <row r="62" spans="1:10" x14ac:dyDescent="0.2">
      <c r="A62" s="24">
        <v>7</v>
      </c>
      <c r="B62" s="1"/>
      <c r="C62" s="1" t="s">
        <v>266</v>
      </c>
      <c r="D62" s="1">
        <v>604.20000000000005</v>
      </c>
      <c r="E62" s="61">
        <v>61</v>
      </c>
      <c r="F62" s="1">
        <f>TobComp[[#This Row],[Number of Retailers in County]]/TobComp[[#This Row],[County Land Mass (mi^2)]]</f>
        <v>0.10095994703740482</v>
      </c>
      <c r="G62" s="2"/>
      <c r="H62" s="62">
        <f>TobComp[[#This Row],[Retail Density of County]]*48</f>
        <v>4.8460774577954311</v>
      </c>
      <c r="I62" s="1">
        <f>IF(TobComp[[#This Row],[Density * 48/weeks]] &lt;=0.5, 1, IF(TobComp[[#This Row],[Density * 48/weeks]] &lt;=2.5, 2, IF(TobComp[[#This Row],[Density * 48/weeks]] &lt;=40, 3, 4)))</f>
        <v>3</v>
      </c>
      <c r="J62" s="1">
        <f>IF(TobComp[[#This Row],[Density * 48/weeks]] &lt;=0.5, $O$2, IF(TobComp[[#This Row],[Density * 48/weeks]] &lt;=2.5, $O$3, IF(TobComp[[#This Row],[Density * 48/weeks]] &lt;=40, $O$4, $O$5)))</f>
        <v>35</v>
      </c>
    </row>
    <row r="63" spans="1:10" x14ac:dyDescent="0.2">
      <c r="A63" s="24">
        <v>11</v>
      </c>
      <c r="B63" s="1"/>
      <c r="C63" s="1" t="s">
        <v>267</v>
      </c>
      <c r="D63" s="1">
        <v>1223.2</v>
      </c>
      <c r="E63" s="61">
        <v>123</v>
      </c>
      <c r="F63" s="1">
        <f>TobComp[[#This Row],[Number of Retailers in County]]/TobComp[[#This Row],[County Land Mass (mi^2)]]</f>
        <v>0.10055591890124264</v>
      </c>
      <c r="G63" s="2"/>
      <c r="H63" s="62">
        <f>TobComp[[#This Row],[Retail Density of County]]*48</f>
        <v>4.8266841072596467</v>
      </c>
      <c r="I63" s="1">
        <f>IF(TobComp[[#This Row],[Density * 48/weeks]] &lt;=0.5, 1, IF(TobComp[[#This Row],[Density * 48/weeks]] &lt;=2.5, 2, IF(TobComp[[#This Row],[Density * 48/weeks]] &lt;=40, 3, 4)))</f>
        <v>3</v>
      </c>
      <c r="J63" s="1">
        <f>IF(TobComp[[#This Row],[Density * 48/weeks]] &lt;=0.5, $O$2, IF(TobComp[[#This Row],[Density * 48/weeks]] &lt;=2.5, $O$3, IF(TobComp[[#This Row],[Density * 48/weeks]] &lt;=40, $O$4, $O$5)))</f>
        <v>35</v>
      </c>
    </row>
    <row r="64" spans="1:10" x14ac:dyDescent="0.2">
      <c r="A64" s="24">
        <v>4</v>
      </c>
      <c r="B64" s="1"/>
      <c r="C64" s="1" t="s">
        <v>268</v>
      </c>
      <c r="D64" s="1">
        <v>229.5</v>
      </c>
      <c r="E64" s="61">
        <v>23</v>
      </c>
      <c r="F64" s="1">
        <f>TobComp[[#This Row],[Number of Retailers in County]]/TobComp[[#This Row],[County Land Mass (mi^2)]]</f>
        <v>0.10021786492374728</v>
      </c>
      <c r="G64" s="2"/>
      <c r="H64" s="62">
        <f>TobComp[[#This Row],[Retail Density of County]]*48</f>
        <v>4.8104575163398691</v>
      </c>
      <c r="I64" s="1">
        <f>IF(TobComp[[#This Row],[Density * 48/weeks]] &lt;=0.5, 1, IF(TobComp[[#This Row],[Density * 48/weeks]] &lt;=2.5, 2, IF(TobComp[[#This Row],[Density * 48/weeks]] &lt;=40, 3, 4)))</f>
        <v>3</v>
      </c>
      <c r="J64" s="1">
        <f>IF(TobComp[[#This Row],[Density * 48/weeks]] &lt;=0.5, $O$2, IF(TobComp[[#This Row],[Density * 48/weeks]] &lt;=2.5, $O$3, IF(TobComp[[#This Row],[Density * 48/weeks]] &lt;=40, $O$4, $O$5)))</f>
        <v>35</v>
      </c>
    </row>
    <row r="65" spans="1:10" x14ac:dyDescent="0.2">
      <c r="A65" s="24">
        <v>4</v>
      </c>
      <c r="B65" s="1"/>
      <c r="C65" s="1" t="s">
        <v>269</v>
      </c>
      <c r="D65" s="1">
        <v>252</v>
      </c>
      <c r="E65" s="61">
        <v>25</v>
      </c>
      <c r="F65" s="1">
        <f>TobComp[[#This Row],[Number of Retailers in County]]/TobComp[[#This Row],[County Land Mass (mi^2)]]</f>
        <v>9.9206349206349201E-2</v>
      </c>
      <c r="G65" s="2"/>
      <c r="H65" s="62">
        <f>TobComp[[#This Row],[Retail Density of County]]*48</f>
        <v>4.7619047619047619</v>
      </c>
      <c r="I65" s="1">
        <f>IF(TobComp[[#This Row],[Density * 48/weeks]] &lt;=0.5, 1, IF(TobComp[[#This Row],[Density * 48/weeks]] &lt;=2.5, 2, IF(TobComp[[#This Row],[Density * 48/weeks]] &lt;=40, 3, 4)))</f>
        <v>3</v>
      </c>
      <c r="J65" s="1">
        <f>IF(TobComp[[#This Row],[Density * 48/weeks]] &lt;=0.5, $O$2, IF(TobComp[[#This Row],[Density * 48/weeks]] &lt;=2.5, $O$3, IF(TobComp[[#This Row],[Density * 48/weeks]] &lt;=40, $O$4, $O$5)))</f>
        <v>35</v>
      </c>
    </row>
    <row r="66" spans="1:10" x14ac:dyDescent="0.2">
      <c r="A66" s="24">
        <v>3</v>
      </c>
      <c r="B66" s="1"/>
      <c r="C66" s="1" t="s">
        <v>270</v>
      </c>
      <c r="D66" s="1">
        <v>904.4</v>
      </c>
      <c r="E66" s="61">
        <v>89</v>
      </c>
      <c r="F66" s="1">
        <f>TobComp[[#This Row],[Number of Retailers in County]]/TobComp[[#This Row],[County Land Mass (mi^2)]]</f>
        <v>9.8407784166298098E-2</v>
      </c>
      <c r="G66" s="2"/>
      <c r="H66" s="62">
        <f>TobComp[[#This Row],[Retail Density of County]]*48</f>
        <v>4.7235736399823089</v>
      </c>
      <c r="I66" s="1">
        <f>IF(TobComp[[#This Row],[Density * 48/weeks]] &lt;=0.5, 1, IF(TobComp[[#This Row],[Density * 48/weeks]] &lt;=2.5, 2, IF(TobComp[[#This Row],[Density * 48/weeks]] &lt;=40, 3, 4)))</f>
        <v>3</v>
      </c>
      <c r="J66" s="1">
        <f>IF(TobComp[[#This Row],[Density * 48/weeks]] &lt;=0.5, $O$2, IF(TobComp[[#This Row],[Density * 48/weeks]] &lt;=2.5, $O$3, IF(TobComp[[#This Row],[Density * 48/weeks]] &lt;=40, $O$4, $O$5)))</f>
        <v>35</v>
      </c>
    </row>
    <row r="67" spans="1:10" x14ac:dyDescent="0.2">
      <c r="A67" s="24">
        <v>9</v>
      </c>
      <c r="B67" s="1"/>
      <c r="C67" s="1" t="s">
        <v>271</v>
      </c>
      <c r="D67" s="1">
        <v>1522</v>
      </c>
      <c r="E67" s="61">
        <v>143</v>
      </c>
      <c r="F67" s="1">
        <f>TobComp[[#This Row],[Number of Retailers in County]]/TobComp[[#This Row],[County Land Mass (mi^2)]]</f>
        <v>9.3955321944809461E-2</v>
      </c>
      <c r="G67" s="2"/>
      <c r="H67" s="62">
        <f>TobComp[[#This Row],[Retail Density of County]]*48</f>
        <v>4.5098554533508537</v>
      </c>
      <c r="I67" s="1">
        <f>IF(TobComp[[#This Row],[Density * 48/weeks]] &lt;=0.5, 1, IF(TobComp[[#This Row],[Density * 48/weeks]] &lt;=2.5, 2, IF(TobComp[[#This Row],[Density * 48/weeks]] &lt;=40, 3, 4)))</f>
        <v>3</v>
      </c>
      <c r="J67" s="1">
        <f>IF(TobComp[[#This Row],[Density * 48/weeks]] &lt;=0.5, $O$2, IF(TobComp[[#This Row],[Density * 48/weeks]] &lt;=2.5, $O$3, IF(TobComp[[#This Row],[Density * 48/weeks]] &lt;=40, $O$4, $O$5)))</f>
        <v>35</v>
      </c>
    </row>
    <row r="68" spans="1:10" x14ac:dyDescent="0.2">
      <c r="A68" s="24">
        <v>4</v>
      </c>
      <c r="B68" s="1"/>
      <c r="C68" s="1" t="s">
        <v>272</v>
      </c>
      <c r="D68" s="1">
        <v>583</v>
      </c>
      <c r="E68" s="61">
        <v>54</v>
      </c>
      <c r="F68" s="1">
        <f>TobComp[[#This Row],[Number of Retailers in County]]/TobComp[[#This Row],[County Land Mass (mi^2)]]</f>
        <v>9.2624356775300176E-2</v>
      </c>
      <c r="G68" s="2"/>
      <c r="H68" s="62">
        <f>TobComp[[#This Row],[Retail Density of County]]*48</f>
        <v>4.4459691252144085</v>
      </c>
      <c r="I68" s="1">
        <f>IF(TobComp[[#This Row],[Density * 48/weeks]] &lt;=0.5, 1, IF(TobComp[[#This Row],[Density * 48/weeks]] &lt;=2.5, 2, IF(TobComp[[#This Row],[Density * 48/weeks]] &lt;=40, 3, 4)))</f>
        <v>3</v>
      </c>
      <c r="J68" s="1">
        <f>IF(TobComp[[#This Row],[Density * 48/weeks]] &lt;=0.5, $O$2, IF(TobComp[[#This Row],[Density * 48/weeks]] &lt;=2.5, $O$3, IF(TobComp[[#This Row],[Density * 48/weeks]] &lt;=40, $O$4, $O$5)))</f>
        <v>35</v>
      </c>
    </row>
    <row r="69" spans="1:10" x14ac:dyDescent="0.2">
      <c r="A69" s="24">
        <v>4</v>
      </c>
      <c r="B69" s="1"/>
      <c r="C69" s="1" t="s">
        <v>273</v>
      </c>
      <c r="D69" s="1">
        <v>842.6</v>
      </c>
      <c r="E69" s="61">
        <v>77</v>
      </c>
      <c r="F69" s="1">
        <f>TobComp[[#This Row],[Number of Retailers in County]]/TobComp[[#This Row],[County Land Mass (mi^2)]]</f>
        <v>9.1383812010443863E-2</v>
      </c>
      <c r="G69" s="2"/>
      <c r="H69" s="62">
        <f>TobComp[[#This Row],[Retail Density of County]]*48</f>
        <v>4.3864229765013052</v>
      </c>
      <c r="I69" s="1">
        <f>IF(TobComp[[#This Row],[Density * 48/weeks]] &lt;=0.5, 1, IF(TobComp[[#This Row],[Density * 48/weeks]] &lt;=2.5, 2, IF(TobComp[[#This Row],[Density * 48/weeks]] &lt;=40, 3, 4)))</f>
        <v>3</v>
      </c>
      <c r="J69" s="1">
        <f>IF(TobComp[[#This Row],[Density * 48/weeks]] &lt;=0.5, $O$2, IF(TobComp[[#This Row],[Density * 48/weeks]] &lt;=2.5, $O$3, IF(TobComp[[#This Row],[Density * 48/weeks]] &lt;=40, $O$4, $O$5)))</f>
        <v>35</v>
      </c>
    </row>
    <row r="70" spans="1:10" x14ac:dyDescent="0.2">
      <c r="A70" s="24">
        <v>3</v>
      </c>
      <c r="B70" s="1"/>
      <c r="C70" s="1" t="s">
        <v>274</v>
      </c>
      <c r="D70" s="1">
        <v>1009.7</v>
      </c>
      <c r="E70" s="61">
        <v>88</v>
      </c>
      <c r="F70" s="1">
        <f>TobComp[[#This Row],[Number of Retailers in County]]/TobComp[[#This Row],[County Land Mass (mi^2)]]</f>
        <v>8.7154600376349409E-2</v>
      </c>
      <c r="G70" s="2"/>
      <c r="H70" s="62">
        <f>TobComp[[#This Row],[Retail Density of County]]*48</f>
        <v>4.1834208180647714</v>
      </c>
      <c r="I70" s="1">
        <f>IF(TobComp[[#This Row],[Density * 48/weeks]] &lt;=0.5, 1, IF(TobComp[[#This Row],[Density * 48/weeks]] &lt;=2.5, 2, IF(TobComp[[#This Row],[Density * 48/weeks]] &lt;=40, 3, 4)))</f>
        <v>3</v>
      </c>
      <c r="J70" s="1">
        <f>IF(TobComp[[#This Row],[Density * 48/weeks]] &lt;=0.5, $O$2, IF(TobComp[[#This Row],[Density * 48/weeks]] &lt;=2.5, $O$3, IF(TobComp[[#This Row],[Density * 48/weeks]] &lt;=40, $O$4, $O$5)))</f>
        <v>35</v>
      </c>
    </row>
    <row r="71" spans="1:10" x14ac:dyDescent="0.2">
      <c r="A71" s="24">
        <v>3</v>
      </c>
      <c r="B71" s="1"/>
      <c r="C71" s="1" t="s">
        <v>275</v>
      </c>
      <c r="D71" s="1">
        <v>874.8</v>
      </c>
      <c r="E71" s="61">
        <v>76</v>
      </c>
      <c r="F71" s="1">
        <f>TobComp[[#This Row],[Number of Retailers in County]]/TobComp[[#This Row],[County Land Mass (mi^2)]]</f>
        <v>8.6877000457247375E-2</v>
      </c>
      <c r="G71" s="2"/>
      <c r="H71" s="62">
        <f>TobComp[[#This Row],[Retail Density of County]]*48</f>
        <v>4.1700960219478738</v>
      </c>
      <c r="I71" s="1">
        <f>IF(TobComp[[#This Row],[Density * 48/weeks]] &lt;=0.5, 1, IF(TobComp[[#This Row],[Density * 48/weeks]] &lt;=2.5, 2, IF(TobComp[[#This Row],[Density * 48/weeks]] &lt;=40, 3, 4)))</f>
        <v>3</v>
      </c>
      <c r="J71" s="1">
        <f>IF(TobComp[[#This Row],[Density * 48/weeks]] &lt;=0.5, $O$2, IF(TobComp[[#This Row],[Density * 48/weeks]] &lt;=2.5, $O$3, IF(TobComp[[#This Row],[Density * 48/weeks]] &lt;=40, $O$4, $O$5)))</f>
        <v>35</v>
      </c>
    </row>
    <row r="72" spans="1:10" x14ac:dyDescent="0.2">
      <c r="A72" s="24">
        <v>6</v>
      </c>
      <c r="B72" s="1"/>
      <c r="C72" s="1" t="s">
        <v>276</v>
      </c>
      <c r="D72" s="1">
        <v>646.5</v>
      </c>
      <c r="E72" s="61">
        <v>56</v>
      </c>
      <c r="F72" s="1">
        <f>TobComp[[#This Row],[Number of Retailers in County]]/TobComp[[#This Row],[County Land Mass (mi^2)]]</f>
        <v>8.6620262954369684E-2</v>
      </c>
      <c r="G72" s="2"/>
      <c r="H72" s="62">
        <f>TobComp[[#This Row],[Retail Density of County]]*48</f>
        <v>4.1577726218097446</v>
      </c>
      <c r="I72" s="1">
        <f>IF(TobComp[[#This Row],[Density * 48/weeks]] &lt;=0.5, 1, IF(TobComp[[#This Row],[Density * 48/weeks]] &lt;=2.5, 2, IF(TobComp[[#This Row],[Density * 48/weeks]] &lt;=40, 3, 4)))</f>
        <v>3</v>
      </c>
      <c r="J72" s="1">
        <f>IF(TobComp[[#This Row],[Density * 48/weeks]] &lt;=0.5, $O$2, IF(TobComp[[#This Row],[Density * 48/weeks]] &lt;=2.5, $O$3, IF(TobComp[[#This Row],[Density * 48/weeks]] &lt;=40, $O$4, $O$5)))</f>
        <v>35</v>
      </c>
    </row>
    <row r="73" spans="1:10" x14ac:dyDescent="0.2">
      <c r="A73" s="24">
        <v>4</v>
      </c>
      <c r="B73" s="1"/>
      <c r="C73" s="1" t="s">
        <v>277</v>
      </c>
      <c r="D73" s="1">
        <v>907.3</v>
      </c>
      <c r="E73" s="61">
        <v>76</v>
      </c>
      <c r="F73" s="1">
        <f>TobComp[[#This Row],[Number of Retailers in County]]/TobComp[[#This Row],[County Land Mass (mi^2)]]</f>
        <v>8.3765017083654802E-2</v>
      </c>
      <c r="G73" s="2"/>
      <c r="H73" s="62">
        <f>TobComp[[#This Row],[Retail Density of County]]*48</f>
        <v>4.0207208200154305</v>
      </c>
      <c r="I73" s="1">
        <f>IF(TobComp[[#This Row],[Density * 48/weeks]] &lt;=0.5, 1, IF(TobComp[[#This Row],[Density * 48/weeks]] &lt;=2.5, 2, IF(TobComp[[#This Row],[Density * 48/weeks]] &lt;=40, 3, 4)))</f>
        <v>3</v>
      </c>
      <c r="J73" s="1">
        <f>IF(TobComp[[#This Row],[Density * 48/weeks]] &lt;=0.5, $O$2, IF(TobComp[[#This Row],[Density * 48/weeks]] &lt;=2.5, $O$3, IF(TobComp[[#This Row],[Density * 48/weeks]] &lt;=40, $O$4, $O$5)))</f>
        <v>35</v>
      </c>
    </row>
    <row r="74" spans="1:10" x14ac:dyDescent="0.2">
      <c r="A74" s="24">
        <v>8</v>
      </c>
      <c r="B74" s="1"/>
      <c r="C74" s="1" t="s">
        <v>278</v>
      </c>
      <c r="D74" s="1">
        <v>506.9</v>
      </c>
      <c r="E74" s="61">
        <v>41</v>
      </c>
      <c r="F74" s="1">
        <f>TobComp[[#This Row],[Number of Retailers in County]]/TobComp[[#This Row],[County Land Mass (mi^2)]]</f>
        <v>8.0883803511540744E-2</v>
      </c>
      <c r="G74" s="2"/>
      <c r="H74" s="62">
        <f>TobComp[[#This Row],[Retail Density of County]]*48</f>
        <v>3.882422568553956</v>
      </c>
      <c r="I74" s="1">
        <f>IF(TobComp[[#This Row],[Density * 48/weeks]] &lt;=0.5, 1, IF(TobComp[[#This Row],[Density * 48/weeks]] &lt;=2.5, 2, IF(TobComp[[#This Row],[Density * 48/weeks]] &lt;=40, 3, 4)))</f>
        <v>3</v>
      </c>
      <c r="J74" s="1">
        <f>IF(TobComp[[#This Row],[Density * 48/weeks]] &lt;=0.5, $O$2, IF(TobComp[[#This Row],[Density * 48/weeks]] &lt;=2.5, $O$3, IF(TobComp[[#This Row],[Density * 48/weeks]] &lt;=40, $O$4, $O$5)))</f>
        <v>35</v>
      </c>
    </row>
    <row r="75" spans="1:10" x14ac:dyDescent="0.2">
      <c r="A75" s="24">
        <v>11</v>
      </c>
      <c r="B75" s="1"/>
      <c r="C75" s="1" t="s">
        <v>279</v>
      </c>
      <c r="D75" s="1">
        <v>865.2</v>
      </c>
      <c r="E75" s="61">
        <v>68</v>
      </c>
      <c r="F75" s="1">
        <f>TobComp[[#This Row],[Number of Retailers in County]]/TobComp[[#This Row],[County Land Mass (mi^2)]]</f>
        <v>7.8594544613962092E-2</v>
      </c>
      <c r="G75" s="2"/>
      <c r="H75" s="62">
        <f>TobComp[[#This Row],[Retail Density of County]]*48</f>
        <v>3.7725381414701804</v>
      </c>
      <c r="I75" s="1">
        <f>IF(TobComp[[#This Row],[Density * 48/weeks]] &lt;=0.5, 1, IF(TobComp[[#This Row],[Density * 48/weeks]] &lt;=2.5, 2, IF(TobComp[[#This Row],[Density * 48/weeks]] &lt;=40, 3, 4)))</f>
        <v>3</v>
      </c>
      <c r="J75" s="1">
        <f>IF(TobComp[[#This Row],[Density * 48/weeks]] &lt;=0.5, $O$2, IF(TobComp[[#This Row],[Density * 48/weeks]] &lt;=2.5, $O$3, IF(TobComp[[#This Row],[Density * 48/weeks]] &lt;=40, $O$4, $O$5)))</f>
        <v>35</v>
      </c>
    </row>
    <row r="76" spans="1:10" x14ac:dyDescent="0.2">
      <c r="A76" s="24">
        <v>4</v>
      </c>
      <c r="B76" s="1"/>
      <c r="C76" t="s">
        <v>280</v>
      </c>
      <c r="D76" s="26">
        <v>1062.5999999999999</v>
      </c>
      <c r="E76" s="61">
        <v>82</v>
      </c>
      <c r="F76" s="1">
        <f>TobComp[[#This Row],[Number of Retailers in County]]/TobComp[[#This Row],[County Land Mass (mi^2)]]</f>
        <v>7.7169207603990222E-2</v>
      </c>
      <c r="G76" s="2"/>
      <c r="H76" s="62">
        <f>TobComp[[#This Row],[Retail Density of County]]*48</f>
        <v>3.7041219649915309</v>
      </c>
      <c r="I76" s="1">
        <f>IF(TobComp[[#This Row],[Density * 48/weeks]] &lt;=0.5, 1, IF(TobComp[[#This Row],[Density * 48/weeks]] &lt;=2.5, 2, IF(TobComp[[#This Row],[Density * 48/weeks]] &lt;=40, 3, 4)))</f>
        <v>3</v>
      </c>
      <c r="J76" s="1">
        <f>IF(TobComp[[#This Row],[Density * 48/weeks]] &lt;=0.5, $O$2, IF(TobComp[[#This Row],[Density * 48/weeks]] &lt;=2.5, $O$3, IF(TobComp[[#This Row],[Density * 48/weeks]] &lt;=40, $O$4, $O$5)))</f>
        <v>35</v>
      </c>
    </row>
    <row r="77" spans="1:10" x14ac:dyDescent="0.2">
      <c r="A77" s="24">
        <v>6</v>
      </c>
      <c r="B77" s="1"/>
      <c r="C77" s="1" t="s">
        <v>281</v>
      </c>
      <c r="D77" s="1">
        <v>1092.9000000000001</v>
      </c>
      <c r="E77" s="61">
        <v>83</v>
      </c>
      <c r="F77" s="1">
        <f>TobComp[[#This Row],[Number of Retailers in County]]/TobComp[[#This Row],[County Land Mass (mi^2)]]</f>
        <v>7.5944734193430313E-2</v>
      </c>
      <c r="G77" s="2"/>
      <c r="H77" s="62">
        <f>TobComp[[#This Row],[Retail Density of County]]*48</f>
        <v>3.645347241284655</v>
      </c>
      <c r="I77" s="1">
        <f>IF(TobComp[[#This Row],[Density * 48/weeks]] &lt;=0.5, 1, IF(TobComp[[#This Row],[Density * 48/weeks]] &lt;=2.5, 2, IF(TobComp[[#This Row],[Density * 48/weeks]] &lt;=40, 3, 4)))</f>
        <v>3</v>
      </c>
      <c r="J77" s="1">
        <f>IF(TobComp[[#This Row],[Density * 48/weeks]] &lt;=0.5, $O$2, IF(TobComp[[#This Row],[Density * 48/weeks]] &lt;=2.5, $O$3, IF(TobComp[[#This Row],[Density * 48/weeks]] &lt;=40, $O$4, $O$5)))</f>
        <v>35</v>
      </c>
    </row>
    <row r="78" spans="1:10" x14ac:dyDescent="0.2">
      <c r="A78" s="24">
        <v>7</v>
      </c>
      <c r="B78" s="1"/>
      <c r="C78" s="1" t="s">
        <v>282</v>
      </c>
      <c r="D78" s="1">
        <v>958.9</v>
      </c>
      <c r="E78" s="61">
        <v>72</v>
      </c>
      <c r="F78" s="1">
        <f>TobComp[[#This Row],[Number of Retailers in County]]/TobComp[[#This Row],[County Land Mass (mi^2)]]</f>
        <v>7.5086036083011787E-2</v>
      </c>
      <c r="G78" s="2"/>
      <c r="H78" s="62">
        <f>TobComp[[#This Row],[Retail Density of County]]*48</f>
        <v>3.6041297319845658</v>
      </c>
      <c r="I78" s="1">
        <f>IF(TobComp[[#This Row],[Density * 48/weeks]] &lt;=0.5, 1, IF(TobComp[[#This Row],[Density * 48/weeks]] &lt;=2.5, 2, IF(TobComp[[#This Row],[Density * 48/weeks]] &lt;=40, 3, 4)))</f>
        <v>3</v>
      </c>
      <c r="J78" s="1">
        <f>IF(TobComp[[#This Row],[Density * 48/weeks]] &lt;=0.5, $O$2, IF(TobComp[[#This Row],[Density * 48/weeks]] &lt;=2.5, $O$3, IF(TobComp[[#This Row],[Density * 48/weeks]] &lt;=40, $O$4, $O$5)))</f>
        <v>35</v>
      </c>
    </row>
    <row r="79" spans="1:10" x14ac:dyDescent="0.2">
      <c r="A79" s="24">
        <v>4</v>
      </c>
      <c r="B79" s="1"/>
      <c r="C79" s="1" t="s">
        <v>283</v>
      </c>
      <c r="D79" s="1">
        <v>1053</v>
      </c>
      <c r="E79" s="61">
        <v>79</v>
      </c>
      <c r="F79" s="1">
        <f>TobComp[[#This Row],[Number of Retailers in County]]/TobComp[[#This Row],[County Land Mass (mi^2)]]</f>
        <v>7.502374169040836E-2</v>
      </c>
      <c r="G79" s="2"/>
      <c r="H79" s="62">
        <f>TobComp[[#This Row],[Retail Density of County]]*48</f>
        <v>3.6011396011396011</v>
      </c>
      <c r="I79" s="1">
        <f>IF(TobComp[[#This Row],[Density * 48/weeks]] &lt;=0.5, 1, IF(TobComp[[#This Row],[Density * 48/weeks]] &lt;=2.5, 2, IF(TobComp[[#This Row],[Density * 48/weeks]] &lt;=40, 3, 4)))</f>
        <v>3</v>
      </c>
      <c r="J79" s="1">
        <f>IF(TobComp[[#This Row],[Density * 48/weeks]] &lt;=0.5, $O$2, IF(TobComp[[#This Row],[Density * 48/weeks]] &lt;=2.5, $O$3, IF(TobComp[[#This Row],[Density * 48/weeks]] &lt;=40, $O$4, $O$5)))</f>
        <v>35</v>
      </c>
    </row>
    <row r="80" spans="1:10" x14ac:dyDescent="0.2">
      <c r="A80" s="24">
        <v>3</v>
      </c>
      <c r="B80" s="1"/>
      <c r="C80" s="1" t="s">
        <v>284</v>
      </c>
      <c r="D80" s="1">
        <v>952.6</v>
      </c>
      <c r="E80" s="61">
        <v>71</v>
      </c>
      <c r="F80" s="1">
        <f>TobComp[[#This Row],[Number of Retailers in County]]/TobComp[[#This Row],[County Land Mass (mi^2)]]</f>
        <v>7.4532857442788161E-2</v>
      </c>
      <c r="G80" s="2"/>
      <c r="H80" s="62">
        <f>TobComp[[#This Row],[Retail Density of County]]*48</f>
        <v>3.577577157253832</v>
      </c>
      <c r="I80" s="1">
        <f>IF(TobComp[[#This Row],[Density * 48/weeks]] &lt;=0.5, 1, IF(TobComp[[#This Row],[Density * 48/weeks]] &lt;=2.5, 2, IF(TobComp[[#This Row],[Density * 48/weeks]] &lt;=40, 3, 4)))</f>
        <v>3</v>
      </c>
      <c r="J80" s="1">
        <f>IF(TobComp[[#This Row],[Density * 48/weeks]] &lt;=0.5, $O$2, IF(TobComp[[#This Row],[Density * 48/weeks]] &lt;=2.5, $O$3, IF(TobComp[[#This Row],[Density * 48/weeks]] &lt;=40, $O$4, $O$5)))</f>
        <v>35</v>
      </c>
    </row>
    <row r="81" spans="1:10" x14ac:dyDescent="0.2">
      <c r="A81" s="24">
        <v>2</v>
      </c>
      <c r="B81" s="1"/>
      <c r="C81" s="1" t="s">
        <v>285</v>
      </c>
      <c r="D81" s="1">
        <v>944.5</v>
      </c>
      <c r="E81" s="61">
        <v>70</v>
      </c>
      <c r="F81" s="1">
        <f>TobComp[[#This Row],[Number of Retailers in County]]/TobComp[[#This Row],[County Land Mass (mi^2)]]</f>
        <v>7.4113287453679191E-2</v>
      </c>
      <c r="G81" s="2"/>
      <c r="H81" s="62">
        <f>TobComp[[#This Row],[Retail Density of County]]*48</f>
        <v>3.5574377977766014</v>
      </c>
      <c r="I81" s="1">
        <f>IF(TobComp[[#This Row],[Density * 48/weeks]] &lt;=0.5, 1, IF(TobComp[[#This Row],[Density * 48/weeks]] &lt;=2.5, 2, IF(TobComp[[#This Row],[Density * 48/weeks]] &lt;=40, 3, 4)))</f>
        <v>3</v>
      </c>
      <c r="J81" s="1">
        <f>IF(TobComp[[#This Row],[Density * 48/weeks]] &lt;=0.5, $O$2, IF(TobComp[[#This Row],[Density * 48/weeks]] &lt;=2.5, $O$3, IF(TobComp[[#This Row],[Density * 48/weeks]] &lt;=40, $O$4, $O$5)))</f>
        <v>35</v>
      </c>
    </row>
    <row r="82" spans="1:10" x14ac:dyDescent="0.2">
      <c r="A82" s="24">
        <v>5</v>
      </c>
      <c r="B82" s="1"/>
      <c r="C82" s="1" t="s">
        <v>286</v>
      </c>
      <c r="D82" s="1">
        <v>1057</v>
      </c>
      <c r="E82" s="61">
        <v>78</v>
      </c>
      <c r="F82" s="1">
        <f>TobComp[[#This Row],[Number of Retailers in County]]/TobComp[[#This Row],[County Land Mass (mi^2)]]</f>
        <v>7.3793755912961209E-2</v>
      </c>
      <c r="G82" s="2"/>
      <c r="H82" s="62">
        <f>TobComp[[#This Row],[Retail Density of County]]*48</f>
        <v>3.5421002838221378</v>
      </c>
      <c r="I82" s="1">
        <f>IF(TobComp[[#This Row],[Density * 48/weeks]] &lt;=0.5, 1, IF(TobComp[[#This Row],[Density * 48/weeks]] &lt;=2.5, 2, IF(TobComp[[#This Row],[Density * 48/weeks]] &lt;=40, 3, 4)))</f>
        <v>3</v>
      </c>
      <c r="J82" s="1">
        <f>IF(TobComp[[#This Row],[Density * 48/weeks]] &lt;=0.5, $O$2, IF(TobComp[[#This Row],[Density * 48/weeks]] &lt;=2.5, $O$3, IF(TobComp[[#This Row],[Density * 48/weeks]] &lt;=40, $O$4, $O$5)))</f>
        <v>35</v>
      </c>
    </row>
    <row r="83" spans="1:10" x14ac:dyDescent="0.2">
      <c r="A83" s="24">
        <v>6</v>
      </c>
      <c r="B83" s="1"/>
      <c r="C83" s="1" t="s">
        <v>287</v>
      </c>
      <c r="D83" s="1">
        <v>1086.0999999999999</v>
      </c>
      <c r="E83" s="61">
        <v>79</v>
      </c>
      <c r="F83" s="1">
        <f>TobComp[[#This Row],[Number of Retailers in County]]/TobComp[[#This Row],[County Land Mass (mi^2)]]</f>
        <v>7.2737317005800578E-2</v>
      </c>
      <c r="G83" s="2"/>
      <c r="H83" s="62">
        <f>TobComp[[#This Row],[Retail Density of County]]*48</f>
        <v>3.4913912162784277</v>
      </c>
      <c r="I83" s="1">
        <f>IF(TobComp[[#This Row],[Density * 48/weeks]] &lt;=0.5, 1, IF(TobComp[[#This Row],[Density * 48/weeks]] &lt;=2.5, 2, IF(TobComp[[#This Row],[Density * 48/weeks]] &lt;=40, 3, 4)))</f>
        <v>3</v>
      </c>
      <c r="J83" s="1">
        <f>IF(TobComp[[#This Row],[Density * 48/weeks]] &lt;=0.5, $O$2, IF(TobComp[[#This Row],[Density * 48/weeks]] &lt;=2.5, $O$3, IF(TobComp[[#This Row],[Density * 48/weeks]] &lt;=40, $O$4, $O$5)))</f>
        <v>35</v>
      </c>
    </row>
    <row r="84" spans="1:10" x14ac:dyDescent="0.2">
      <c r="A84" s="24">
        <v>7</v>
      </c>
      <c r="B84" s="1"/>
      <c r="C84" s="1" t="s">
        <v>288</v>
      </c>
      <c r="D84" s="1">
        <v>994.8</v>
      </c>
      <c r="E84" s="61">
        <v>70</v>
      </c>
      <c r="F84" s="1">
        <f>TobComp[[#This Row],[Number of Retailers in County]]/TobComp[[#This Row],[County Land Mass (mi^2)]]</f>
        <v>7.0365902694008844E-2</v>
      </c>
      <c r="G84" s="2"/>
      <c r="H84" s="62">
        <f>TobComp[[#This Row],[Retail Density of County]]*48</f>
        <v>3.3775633293124248</v>
      </c>
      <c r="I84" s="1">
        <f>IF(TobComp[[#This Row],[Density * 48/weeks]] &lt;=0.5, 1, IF(TobComp[[#This Row],[Density * 48/weeks]] &lt;=2.5, 2, IF(TobComp[[#This Row],[Density * 48/weeks]] &lt;=40, 3, 4)))</f>
        <v>3</v>
      </c>
      <c r="J84" s="1">
        <f>IF(TobComp[[#This Row],[Density * 48/weeks]] &lt;=0.5, $O$2, IF(TobComp[[#This Row],[Density * 48/weeks]] &lt;=2.5, $O$3, IF(TobComp[[#This Row],[Density * 48/weeks]] &lt;=40, $O$4, $O$5)))</f>
        <v>35</v>
      </c>
    </row>
    <row r="85" spans="1:10" x14ac:dyDescent="0.2">
      <c r="A85" s="24">
        <v>4</v>
      </c>
      <c r="B85" s="1"/>
      <c r="C85" s="1" t="s">
        <v>289</v>
      </c>
      <c r="D85" s="1">
        <v>924.2</v>
      </c>
      <c r="E85" s="61">
        <v>65</v>
      </c>
      <c r="F85" s="1">
        <f>TobComp[[#This Row],[Number of Retailers in County]]/TobComp[[#This Row],[County Land Mass (mi^2)]]</f>
        <v>7.0331097165115777E-2</v>
      </c>
      <c r="G85" s="2"/>
      <c r="H85" s="62">
        <f>TobComp[[#This Row],[Retail Density of County]]*48</f>
        <v>3.3758926639255575</v>
      </c>
      <c r="I85" s="1">
        <f>IF(TobComp[[#This Row],[Density * 48/weeks]] &lt;=0.5, 1, IF(TobComp[[#This Row],[Density * 48/weeks]] &lt;=2.5, 2, IF(TobComp[[#This Row],[Density * 48/weeks]] &lt;=40, 3, 4)))</f>
        <v>3</v>
      </c>
      <c r="J85" s="1">
        <f>IF(TobComp[[#This Row],[Density * 48/weeks]] &lt;=0.5, $O$2, IF(TobComp[[#This Row],[Density * 48/weeks]] &lt;=2.5, $O$3, IF(TobComp[[#This Row],[Density * 48/weeks]] &lt;=40, $O$4, $O$5)))</f>
        <v>35</v>
      </c>
    </row>
    <row r="86" spans="1:10" x14ac:dyDescent="0.2">
      <c r="A86" s="24">
        <v>5</v>
      </c>
      <c r="B86" s="1"/>
      <c r="C86" s="1" t="s">
        <v>290</v>
      </c>
      <c r="D86" s="1">
        <v>938.7</v>
      </c>
      <c r="E86" s="61">
        <v>66</v>
      </c>
      <c r="F86" s="1">
        <f>TobComp[[#This Row],[Number of Retailers in County]]/TobComp[[#This Row],[County Land Mass (mi^2)]]</f>
        <v>7.0310003195909229E-2</v>
      </c>
      <c r="G86" s="2"/>
      <c r="H86" s="62">
        <f>TobComp[[#This Row],[Retail Density of County]]*48</f>
        <v>3.3748801534036428</v>
      </c>
      <c r="I86" s="1">
        <f>IF(TobComp[[#This Row],[Density * 48/weeks]] &lt;=0.5, 1, IF(TobComp[[#This Row],[Density * 48/weeks]] &lt;=2.5, 2, IF(TobComp[[#This Row],[Density * 48/weeks]] &lt;=40, 3, 4)))</f>
        <v>3</v>
      </c>
      <c r="J86" s="1">
        <f>IF(TobComp[[#This Row],[Density * 48/weeks]] &lt;=0.5, $O$2, IF(TobComp[[#This Row],[Density * 48/weeks]] &lt;=2.5, $O$3, IF(TobComp[[#This Row],[Density * 48/weeks]] &lt;=40, $O$4, $O$5)))</f>
        <v>35</v>
      </c>
    </row>
    <row r="87" spans="1:10" x14ac:dyDescent="0.2">
      <c r="A87" s="24">
        <v>4</v>
      </c>
      <c r="B87" s="1"/>
      <c r="C87" s="1" t="s">
        <v>291</v>
      </c>
      <c r="D87" s="1">
        <v>767.4</v>
      </c>
      <c r="E87" s="61">
        <v>53</v>
      </c>
      <c r="F87" s="1">
        <f>TobComp[[#This Row],[Number of Retailers in County]]/TobComp[[#This Row],[County Land Mass (mi^2)]]</f>
        <v>6.9064373208235608E-2</v>
      </c>
      <c r="G87" s="2"/>
      <c r="H87" s="62">
        <f>TobComp[[#This Row],[Retail Density of County]]*48</f>
        <v>3.3150899139953092</v>
      </c>
      <c r="I87" s="1">
        <f>IF(TobComp[[#This Row],[Density * 48/weeks]] &lt;=0.5, 1, IF(TobComp[[#This Row],[Density * 48/weeks]] &lt;=2.5, 2, IF(TobComp[[#This Row],[Density * 48/weeks]] &lt;=40, 3, 4)))</f>
        <v>3</v>
      </c>
      <c r="J87" s="1">
        <f>IF(TobComp[[#This Row],[Density * 48/weeks]] &lt;=0.5, $O$2, IF(TobComp[[#This Row],[Density * 48/weeks]] &lt;=2.5, $O$3, IF(TobComp[[#This Row],[Density * 48/weeks]] &lt;=40, $O$4, $O$5)))</f>
        <v>35</v>
      </c>
    </row>
    <row r="88" spans="1:10" x14ac:dyDescent="0.2">
      <c r="A88" s="24">
        <v>7</v>
      </c>
      <c r="B88" s="1"/>
      <c r="C88" s="1" t="s">
        <v>292</v>
      </c>
      <c r="D88" s="1">
        <v>787.5</v>
      </c>
      <c r="E88" s="61">
        <v>53</v>
      </c>
      <c r="F88" s="1">
        <f>TobComp[[#This Row],[Number of Retailers in County]]/TobComp[[#This Row],[County Land Mass (mi^2)]]</f>
        <v>6.7301587301587307E-2</v>
      </c>
      <c r="G88" s="2"/>
      <c r="H88" s="62">
        <f>TobComp[[#This Row],[Retail Density of County]]*48</f>
        <v>3.2304761904761907</v>
      </c>
      <c r="I88" s="1">
        <f>IF(TobComp[[#This Row],[Density * 48/weeks]] &lt;=0.5, 1, IF(TobComp[[#This Row],[Density * 48/weeks]] &lt;=2.5, 2, IF(TobComp[[#This Row],[Density * 48/weeks]] &lt;=40, 3, 4)))</f>
        <v>3</v>
      </c>
      <c r="J88" s="1">
        <f>IF(TobComp[[#This Row],[Density * 48/weeks]] &lt;=0.5, $O$2, IF(TobComp[[#This Row],[Density * 48/weeks]] &lt;=2.5, $O$3, IF(TobComp[[#This Row],[Density * 48/weeks]] &lt;=40, $O$4, $O$5)))</f>
        <v>35</v>
      </c>
    </row>
    <row r="89" spans="1:10" x14ac:dyDescent="0.2">
      <c r="A89" s="24">
        <v>5</v>
      </c>
      <c r="B89" s="1"/>
      <c r="C89" s="1" t="s">
        <v>293</v>
      </c>
      <c r="D89" s="1">
        <v>569.20000000000005</v>
      </c>
      <c r="E89" s="61">
        <v>38</v>
      </c>
      <c r="F89" s="1">
        <f>TobComp[[#This Row],[Number of Retailers in County]]/TobComp[[#This Row],[County Land Mass (mi^2)]]</f>
        <v>6.6760365425158105E-2</v>
      </c>
      <c r="G89" s="2"/>
      <c r="H89" s="62">
        <f>TobComp[[#This Row],[Retail Density of County]]*48</f>
        <v>3.2044975404075888</v>
      </c>
      <c r="I89" s="1">
        <f>IF(TobComp[[#This Row],[Density * 48/weeks]] &lt;=0.5, 1, IF(TobComp[[#This Row],[Density * 48/weeks]] &lt;=2.5, 2, IF(TobComp[[#This Row],[Density * 48/weeks]] &lt;=40, 3, 4)))</f>
        <v>3</v>
      </c>
      <c r="J89" s="1">
        <f>IF(TobComp[[#This Row],[Density * 48/weeks]] &lt;=0.5, $O$2, IF(TobComp[[#This Row],[Density * 48/weeks]] &lt;=2.5, $O$3, IF(TobComp[[#This Row],[Density * 48/weeks]] &lt;=40, $O$4, $O$5)))</f>
        <v>35</v>
      </c>
    </row>
    <row r="90" spans="1:10" x14ac:dyDescent="0.2">
      <c r="A90" s="24">
        <v>9</v>
      </c>
      <c r="B90" s="1"/>
      <c r="C90" s="1" t="s">
        <v>294</v>
      </c>
      <c r="D90" s="1">
        <v>900.8</v>
      </c>
      <c r="E90" s="61">
        <v>60</v>
      </c>
      <c r="F90" s="1">
        <f>TobComp[[#This Row],[Number of Retailers in County]]/TobComp[[#This Row],[County Land Mass (mi^2)]]</f>
        <v>6.660746003552398E-2</v>
      </c>
      <c r="G90" s="2"/>
      <c r="H90" s="62">
        <f>TobComp[[#This Row],[Retail Density of County]]*48</f>
        <v>3.197158081705151</v>
      </c>
      <c r="I90" s="1">
        <f>IF(TobComp[[#This Row],[Density * 48/weeks]] &lt;=0.5, 1, IF(TobComp[[#This Row],[Density * 48/weeks]] &lt;=2.5, 2, IF(TobComp[[#This Row],[Density * 48/weeks]] &lt;=40, 3, 4)))</f>
        <v>3</v>
      </c>
      <c r="J90" s="1">
        <f>IF(TobComp[[#This Row],[Density * 48/weeks]] &lt;=0.5, $O$2, IF(TobComp[[#This Row],[Density * 48/weeks]] &lt;=2.5, $O$3, IF(TobComp[[#This Row],[Density * 48/weeks]] &lt;=40, $O$4, $O$5)))</f>
        <v>35</v>
      </c>
    </row>
    <row r="91" spans="1:10" x14ac:dyDescent="0.2">
      <c r="A91" s="24">
        <v>8</v>
      </c>
      <c r="B91" s="1"/>
      <c r="C91" s="1" t="s">
        <v>295</v>
      </c>
      <c r="D91" s="1">
        <v>662.5</v>
      </c>
      <c r="E91" s="61">
        <v>43</v>
      </c>
      <c r="F91" s="1">
        <f>TobComp[[#This Row],[Number of Retailers in County]]/TobComp[[#This Row],[County Land Mass (mi^2)]]</f>
        <v>6.4905660377358496E-2</v>
      </c>
      <c r="G91" s="2"/>
      <c r="H91" s="62">
        <f>TobComp[[#This Row],[Retail Density of County]]*48</f>
        <v>3.1154716981132076</v>
      </c>
      <c r="I91" s="1">
        <f>IF(TobComp[[#This Row],[Density * 48/weeks]] &lt;=0.5, 1, IF(TobComp[[#This Row],[Density * 48/weeks]] &lt;=2.5, 2, IF(TobComp[[#This Row],[Density * 48/weeks]] &lt;=40, 3, 4)))</f>
        <v>3</v>
      </c>
      <c r="J91" s="1">
        <f>IF(TobComp[[#This Row],[Density * 48/weeks]] &lt;=0.5, $O$2, IF(TobComp[[#This Row],[Density * 48/weeks]] &lt;=2.5, $O$3, IF(TobComp[[#This Row],[Density * 48/weeks]] &lt;=40, $O$4, $O$5)))</f>
        <v>35</v>
      </c>
    </row>
    <row r="92" spans="1:10" x14ac:dyDescent="0.2">
      <c r="A92" s="24">
        <v>11</v>
      </c>
      <c r="B92" s="1"/>
      <c r="C92" s="1" t="s">
        <v>296</v>
      </c>
      <c r="D92" s="1">
        <v>3361.5</v>
      </c>
      <c r="E92" s="61">
        <v>217</v>
      </c>
      <c r="F92" s="1">
        <f>TobComp[[#This Row],[Number of Retailers in County]]/TobComp[[#This Row],[County Land Mass (mi^2)]]</f>
        <v>6.4554514353711137E-2</v>
      </c>
      <c r="G92" s="2"/>
      <c r="H92" s="62">
        <f>TobComp[[#This Row],[Retail Density of County]]*48</f>
        <v>3.0986166889781348</v>
      </c>
      <c r="I92" s="1">
        <f>IF(TobComp[[#This Row],[Density * 48/weeks]] &lt;=0.5, 1, IF(TobComp[[#This Row],[Density * 48/weeks]] &lt;=2.5, 2, IF(TobComp[[#This Row],[Density * 48/weeks]] &lt;=40, 3, 4)))</f>
        <v>3</v>
      </c>
      <c r="J92" s="1">
        <f>IF(TobComp[[#This Row],[Density * 48/weeks]] &lt;=0.5, $O$2, IF(TobComp[[#This Row],[Density * 48/weeks]] &lt;=2.5, $O$3, IF(TobComp[[#This Row],[Density * 48/weeks]] &lt;=40, $O$4, $O$5)))</f>
        <v>35</v>
      </c>
    </row>
    <row r="93" spans="1:10" x14ac:dyDescent="0.2">
      <c r="A93" s="24">
        <v>8</v>
      </c>
      <c r="B93" s="1"/>
      <c r="C93" s="1" t="s">
        <v>297</v>
      </c>
      <c r="D93" s="1">
        <v>1103.3</v>
      </c>
      <c r="E93" s="61">
        <v>71</v>
      </c>
      <c r="F93" s="1">
        <f>TobComp[[#This Row],[Number of Retailers in County]]/TobComp[[#This Row],[County Land Mass (mi^2)]]</f>
        <v>6.4352397353394361E-2</v>
      </c>
      <c r="G93" s="2"/>
      <c r="H93" s="62">
        <f>TobComp[[#This Row],[Retail Density of County]]*48</f>
        <v>3.0889150729629291</v>
      </c>
      <c r="I93" s="1">
        <f>IF(TobComp[[#This Row],[Density * 48/weeks]] &lt;=0.5, 1, IF(TobComp[[#This Row],[Density * 48/weeks]] &lt;=2.5, 2, IF(TobComp[[#This Row],[Density * 48/weeks]] &lt;=40, 3, 4)))</f>
        <v>3</v>
      </c>
      <c r="J93" s="1">
        <f>IF(TobComp[[#This Row],[Density * 48/weeks]] &lt;=0.5, $O$2, IF(TobComp[[#This Row],[Density * 48/weeks]] &lt;=2.5, $O$3, IF(TobComp[[#This Row],[Density * 48/weeks]] &lt;=40, $O$4, $O$5)))</f>
        <v>35</v>
      </c>
    </row>
    <row r="94" spans="1:10" x14ac:dyDescent="0.2">
      <c r="A94" s="24">
        <v>7</v>
      </c>
      <c r="B94" s="1"/>
      <c r="C94" s="1" t="s">
        <v>298</v>
      </c>
      <c r="D94" s="1">
        <v>659.1</v>
      </c>
      <c r="E94" s="61">
        <v>42</v>
      </c>
      <c r="F94" s="1">
        <f>TobComp[[#This Row],[Number of Retailers in County]]/TobComp[[#This Row],[County Land Mass (mi^2)]]</f>
        <v>6.372325898953117E-2</v>
      </c>
      <c r="G94" s="2"/>
      <c r="H94" s="62">
        <f>TobComp[[#This Row],[Retail Density of County]]*48</f>
        <v>3.0587164314974959</v>
      </c>
      <c r="I94" s="1">
        <f>IF(TobComp[[#This Row],[Density * 48/weeks]] &lt;=0.5, 1, IF(TobComp[[#This Row],[Density * 48/weeks]] &lt;=2.5, 2, IF(TobComp[[#This Row],[Density * 48/weeks]] &lt;=40, 3, 4)))</f>
        <v>3</v>
      </c>
      <c r="J94" s="1">
        <f>IF(TobComp[[#This Row],[Density * 48/weeks]] &lt;=0.5, $O$2, IF(TobComp[[#This Row],[Density * 48/weeks]] &lt;=2.5, $O$3, IF(TobComp[[#This Row],[Density * 48/weeks]] &lt;=40, $O$4, $O$5)))</f>
        <v>35</v>
      </c>
    </row>
    <row r="95" spans="1:10" x14ac:dyDescent="0.2">
      <c r="A95" s="24">
        <v>7</v>
      </c>
      <c r="B95" s="1"/>
      <c r="C95" s="1" t="s">
        <v>299</v>
      </c>
      <c r="D95" s="1">
        <v>1052.3</v>
      </c>
      <c r="E95" s="61">
        <v>67</v>
      </c>
      <c r="F95" s="1">
        <f>TobComp[[#This Row],[Number of Retailers in County]]/TobComp[[#This Row],[County Land Mass (mi^2)]]</f>
        <v>6.367005606766131E-2</v>
      </c>
      <c r="G95" s="2"/>
      <c r="H95" s="62">
        <f>TobComp[[#This Row],[Retail Density of County]]*48</f>
        <v>3.0561626912477431</v>
      </c>
      <c r="I95" s="1">
        <f>IF(TobComp[[#This Row],[Density * 48/weeks]] &lt;=0.5, 1, IF(TobComp[[#This Row],[Density * 48/weeks]] &lt;=2.5, 2, IF(TobComp[[#This Row],[Density * 48/weeks]] &lt;=40, 3, 4)))</f>
        <v>3</v>
      </c>
      <c r="J95" s="1">
        <f>IF(TobComp[[#This Row],[Density * 48/weeks]] &lt;=0.5, $O$2, IF(TobComp[[#This Row],[Density * 48/weeks]] &lt;=2.5, $O$3, IF(TobComp[[#This Row],[Density * 48/weeks]] &lt;=40, $O$4, $O$5)))</f>
        <v>35</v>
      </c>
    </row>
    <row r="96" spans="1:10" x14ac:dyDescent="0.2">
      <c r="A96" s="24">
        <v>5</v>
      </c>
      <c r="B96" s="1"/>
      <c r="C96" s="1" t="s">
        <v>300</v>
      </c>
      <c r="D96" s="1">
        <v>795.6</v>
      </c>
      <c r="E96" s="61">
        <v>50</v>
      </c>
      <c r="F96" s="1">
        <f>TobComp[[#This Row],[Number of Retailers in County]]/TobComp[[#This Row],[County Land Mass (mi^2)]]</f>
        <v>6.2845651080945197E-2</v>
      </c>
      <c r="G96" s="2"/>
      <c r="H96" s="62">
        <f>TobComp[[#This Row],[Retail Density of County]]*48</f>
        <v>3.0165912518853695</v>
      </c>
      <c r="I96" s="1">
        <f>IF(TobComp[[#This Row],[Density * 48/weeks]] &lt;=0.5, 1, IF(TobComp[[#This Row],[Density * 48/weeks]] &lt;=2.5, 2, IF(TobComp[[#This Row],[Density * 48/weeks]] &lt;=40, 3, 4)))</f>
        <v>3</v>
      </c>
      <c r="J96" s="1">
        <f>IF(TobComp[[#This Row],[Density * 48/weeks]] &lt;=0.5, $O$2, IF(TobComp[[#This Row],[Density * 48/weeks]] &lt;=2.5, $O$3, IF(TobComp[[#This Row],[Density * 48/weeks]] &lt;=40, $O$4, $O$5)))</f>
        <v>35</v>
      </c>
    </row>
    <row r="97" spans="1:10" x14ac:dyDescent="0.2">
      <c r="A97" s="24">
        <v>8</v>
      </c>
      <c r="B97" s="1"/>
      <c r="C97" s="1" t="s">
        <v>301</v>
      </c>
      <c r="D97" s="1">
        <v>1219.5</v>
      </c>
      <c r="E97" s="61">
        <v>75</v>
      </c>
      <c r="F97" s="1">
        <f>TobComp[[#This Row],[Number of Retailers in County]]/TobComp[[#This Row],[County Land Mass (mi^2)]]</f>
        <v>6.1500615006150061E-2</v>
      </c>
      <c r="G97" s="2"/>
      <c r="H97" s="62">
        <f>TobComp[[#This Row],[Retail Density of County]]*48</f>
        <v>2.9520295202952029</v>
      </c>
      <c r="I97" s="1">
        <f>IF(TobComp[[#This Row],[Density * 48/weeks]] &lt;=0.5, 1, IF(TobComp[[#This Row],[Density * 48/weeks]] &lt;=2.5, 2, IF(TobComp[[#This Row],[Density * 48/weeks]] &lt;=40, 3, 4)))</f>
        <v>3</v>
      </c>
      <c r="J97" s="1">
        <f>IF(TobComp[[#This Row],[Density * 48/weeks]] &lt;=0.5, $O$2, IF(TobComp[[#This Row],[Density * 48/weeks]] &lt;=2.5, $O$3, IF(TobComp[[#This Row],[Density * 48/weeks]] &lt;=40, $O$4, $O$5)))</f>
        <v>35</v>
      </c>
    </row>
    <row r="98" spans="1:10" x14ac:dyDescent="0.2">
      <c r="A98" s="24">
        <v>4</v>
      </c>
      <c r="B98" s="1"/>
      <c r="C98" s="1" t="s">
        <v>302</v>
      </c>
      <c r="D98" s="1">
        <v>380.9</v>
      </c>
      <c r="E98" s="61">
        <v>23</v>
      </c>
      <c r="F98" s="1">
        <f>TobComp[[#This Row],[Number of Retailers in County]]/TobComp[[#This Row],[County Land Mass (mi^2)]]</f>
        <v>6.0383302704121823E-2</v>
      </c>
      <c r="G98" s="2"/>
      <c r="H98" s="62">
        <f>TobComp[[#This Row],[Retail Density of County]]*48</f>
        <v>2.8983985297978476</v>
      </c>
      <c r="I98" s="1">
        <f>IF(TobComp[[#This Row],[Density * 48/weeks]] &lt;=0.5, 1, IF(TobComp[[#This Row],[Density * 48/weeks]] &lt;=2.5, 2, IF(TobComp[[#This Row],[Density * 48/weeks]] &lt;=40, 3, 4)))</f>
        <v>3</v>
      </c>
      <c r="J98" s="1">
        <f>IF(TobComp[[#This Row],[Density * 48/weeks]] &lt;=0.5, $O$2, IF(TobComp[[#This Row],[Density * 48/weeks]] &lt;=2.5, $O$3, IF(TobComp[[#This Row],[Density * 48/weeks]] &lt;=40, $O$4, $O$5)))</f>
        <v>35</v>
      </c>
    </row>
    <row r="99" spans="1:10" x14ac:dyDescent="0.2">
      <c r="A99" s="24">
        <v>8</v>
      </c>
      <c r="B99" s="1"/>
      <c r="C99" s="1" t="s">
        <v>303</v>
      </c>
      <c r="D99" s="1">
        <v>803.7</v>
      </c>
      <c r="E99" s="61">
        <v>46</v>
      </c>
      <c r="F99" s="1">
        <f>TobComp[[#This Row],[Number of Retailers in County]]/TobComp[[#This Row],[County Land Mass (mi^2)]]</f>
        <v>5.7235286798556675E-2</v>
      </c>
      <c r="G99" s="2"/>
      <c r="H99" s="62">
        <f>TobComp[[#This Row],[Retail Density of County]]*48</f>
        <v>2.7472937663307206</v>
      </c>
      <c r="I99" s="1">
        <f>IF(TobComp[[#This Row],[Density * 48/weeks]] &lt;=0.5, 1, IF(TobComp[[#This Row],[Density * 48/weeks]] &lt;=2.5, 2, IF(TobComp[[#This Row],[Density * 48/weeks]] &lt;=40, 3, 4)))</f>
        <v>3</v>
      </c>
      <c r="J99" s="1">
        <f>IF(TobComp[[#This Row],[Density * 48/weeks]] &lt;=0.5, $O$2, IF(TobComp[[#This Row],[Density * 48/weeks]] &lt;=2.5, $O$3, IF(TobComp[[#This Row],[Density * 48/weeks]] &lt;=40, $O$4, $O$5)))</f>
        <v>35</v>
      </c>
    </row>
    <row r="100" spans="1:10" x14ac:dyDescent="0.2">
      <c r="A100" s="24">
        <v>7</v>
      </c>
      <c r="B100" s="1"/>
      <c r="C100" s="1" t="s">
        <v>304</v>
      </c>
      <c r="D100" s="1">
        <v>949.9</v>
      </c>
      <c r="E100" s="61">
        <v>53</v>
      </c>
      <c r="F100" s="1">
        <f>TobComp[[#This Row],[Number of Retailers in County]]/TobComp[[#This Row],[County Land Mass (mi^2)]]</f>
        <v>5.5795346878618805E-2</v>
      </c>
      <c r="G100" s="2"/>
      <c r="H100" s="62">
        <f>TobComp[[#This Row],[Retail Density of County]]*48</f>
        <v>2.6781766501737025</v>
      </c>
      <c r="I100" s="1">
        <f>IF(TobComp[[#This Row],[Density * 48/weeks]] &lt;=0.5, 1, IF(TobComp[[#This Row],[Density * 48/weeks]] &lt;=2.5, 2, IF(TobComp[[#This Row],[Density * 48/weeks]] &lt;=40, 3, 4)))</f>
        <v>3</v>
      </c>
      <c r="J100" s="1">
        <f>IF(TobComp[[#This Row],[Density * 48/weeks]] &lt;=0.5, $O$2, IF(TobComp[[#This Row],[Density * 48/weeks]] &lt;=2.5, $O$3, IF(TobComp[[#This Row],[Density * 48/weeks]] &lt;=40, $O$4, $O$5)))</f>
        <v>35</v>
      </c>
    </row>
    <row r="101" spans="1:10" x14ac:dyDescent="0.2">
      <c r="A101" s="24">
        <v>7</v>
      </c>
      <c r="B101" s="1"/>
      <c r="C101" s="1" t="s">
        <v>305</v>
      </c>
      <c r="D101" s="1">
        <v>466.1</v>
      </c>
      <c r="E101" s="61">
        <v>26</v>
      </c>
      <c r="F101" s="1">
        <f>TobComp[[#This Row],[Number of Retailers in County]]/TobComp[[#This Row],[County Land Mass (mi^2)]]</f>
        <v>5.5782021025531002E-2</v>
      </c>
      <c r="G101" s="2"/>
      <c r="H101" s="62">
        <f>TobComp[[#This Row],[Retail Density of County]]*48</f>
        <v>2.677537009225488</v>
      </c>
      <c r="I101" s="1">
        <f>IF(TobComp[[#This Row],[Density * 48/weeks]] &lt;=0.5, 1, IF(TobComp[[#This Row],[Density * 48/weeks]] &lt;=2.5, 2, IF(TobComp[[#This Row],[Density * 48/weeks]] &lt;=40, 3, 4)))</f>
        <v>3</v>
      </c>
      <c r="J101" s="1">
        <f>IF(TobComp[[#This Row],[Density * 48/weeks]] &lt;=0.5, $O$2, IF(TobComp[[#This Row],[Density * 48/weeks]] &lt;=2.5, $O$3, IF(TobComp[[#This Row],[Density * 48/weeks]] &lt;=40, $O$4, $O$5)))</f>
        <v>35</v>
      </c>
    </row>
    <row r="102" spans="1:10" x14ac:dyDescent="0.2">
      <c r="A102" s="24">
        <v>5</v>
      </c>
      <c r="B102" s="1"/>
      <c r="C102" s="1" t="s">
        <v>306</v>
      </c>
      <c r="D102" s="1">
        <v>491.7</v>
      </c>
      <c r="E102" s="61">
        <v>27</v>
      </c>
      <c r="F102" s="1">
        <f>TobComp[[#This Row],[Number of Retailers in County]]/TobComp[[#This Row],[County Land Mass (mi^2)]]</f>
        <v>5.491153142159854E-2</v>
      </c>
      <c r="G102" s="2"/>
      <c r="H102" s="62">
        <f>TobComp[[#This Row],[Retail Density of County]]*48</f>
        <v>2.6357535082367298</v>
      </c>
      <c r="I102" s="1">
        <f>IF(TobComp[[#This Row],[Density * 48/weeks]] &lt;=0.5, 1, IF(TobComp[[#This Row],[Density * 48/weeks]] &lt;=2.5, 2, IF(TobComp[[#This Row],[Density * 48/weeks]] &lt;=40, 3, 4)))</f>
        <v>3</v>
      </c>
      <c r="J102" s="1">
        <f>IF(TobComp[[#This Row],[Density * 48/weeks]] &lt;=0.5, $O$2, IF(TobComp[[#This Row],[Density * 48/weeks]] &lt;=2.5, $O$3, IF(TobComp[[#This Row],[Density * 48/weeks]] &lt;=40, $O$4, $O$5)))</f>
        <v>35</v>
      </c>
    </row>
    <row r="103" spans="1:10" x14ac:dyDescent="0.2">
      <c r="A103" s="24">
        <v>7</v>
      </c>
      <c r="B103" s="1"/>
      <c r="C103" s="1" t="s">
        <v>307</v>
      </c>
      <c r="D103" s="1">
        <v>629</v>
      </c>
      <c r="E103" s="61">
        <v>34</v>
      </c>
      <c r="F103" s="1">
        <f>TobComp[[#This Row],[Number of Retailers in County]]/TobComp[[#This Row],[County Land Mass (mi^2)]]</f>
        <v>5.4054054054054057E-2</v>
      </c>
      <c r="G103" s="2"/>
      <c r="H103" s="62">
        <f>TobComp[[#This Row],[Retail Density of County]]*48</f>
        <v>2.5945945945945947</v>
      </c>
      <c r="I103" s="1">
        <f>IF(TobComp[[#This Row],[Density * 48/weeks]] &lt;=0.5, 1, IF(TobComp[[#This Row],[Density * 48/weeks]] &lt;=2.5, 2, IF(TobComp[[#This Row],[Density * 48/weeks]] &lt;=40, 3, 4)))</f>
        <v>3</v>
      </c>
      <c r="J103" s="1">
        <f>IF(TobComp[[#This Row],[Density * 48/weeks]] &lt;=0.5, $O$2, IF(TobComp[[#This Row],[Density * 48/weeks]] &lt;=2.5, $O$3, IF(TobComp[[#This Row],[Density * 48/weeks]] &lt;=40, $O$4, $O$5)))</f>
        <v>35</v>
      </c>
    </row>
    <row r="104" spans="1:10" x14ac:dyDescent="0.2">
      <c r="A104" s="24">
        <v>2</v>
      </c>
      <c r="B104" s="1"/>
      <c r="C104" s="1" t="s">
        <v>308</v>
      </c>
      <c r="D104" s="1">
        <v>926.5</v>
      </c>
      <c r="E104" s="61">
        <v>48</v>
      </c>
      <c r="F104" s="1">
        <f>TobComp[[#This Row],[Number of Retailers in County]]/TobComp[[#This Row],[County Land Mass (mi^2)]]</f>
        <v>5.1807879114948732E-2</v>
      </c>
      <c r="G104" s="2"/>
      <c r="H104" s="62">
        <f>TobComp[[#This Row],[Retail Density of County]]*48</f>
        <v>2.4867781975175394</v>
      </c>
      <c r="I104" s="1">
        <f>IF(TobComp[[#This Row],[Density * 48/weeks]] &lt;=0.5, 1, IF(TobComp[[#This Row],[Density * 48/weeks]] &lt;=2.5, 2, IF(TobComp[[#This Row],[Density * 48/weeks]] &lt;=40, 3, 4)))</f>
        <v>2</v>
      </c>
      <c r="J104" s="1">
        <f>IF(TobComp[[#This Row],[Density * 48/weeks]] &lt;=0.5, $O$2, IF(TobComp[[#This Row],[Density * 48/weeks]] &lt;=2.5, $O$3, IF(TobComp[[#This Row],[Density * 48/weeks]] &lt;=40, $O$4, $O$5)))</f>
        <v>25</v>
      </c>
    </row>
    <row r="105" spans="1:10" x14ac:dyDescent="0.2">
      <c r="A105" s="24">
        <v>11</v>
      </c>
      <c r="B105" s="1"/>
      <c r="C105" s="1" t="s">
        <v>309</v>
      </c>
      <c r="D105" s="1">
        <v>881.3</v>
      </c>
      <c r="E105" s="61">
        <v>45</v>
      </c>
      <c r="F105" s="1">
        <f>TobComp[[#This Row],[Number of Retailers in County]]/TobComp[[#This Row],[County Land Mass (mi^2)]]</f>
        <v>5.1060932713037563E-2</v>
      </c>
      <c r="G105" s="2"/>
      <c r="H105" s="62">
        <f>TobComp[[#This Row],[Retail Density of County]]*48</f>
        <v>2.4509247702258028</v>
      </c>
      <c r="I105" s="1">
        <f>IF(TobComp[[#This Row],[Density * 48/weeks]] &lt;=0.5, 1, IF(TobComp[[#This Row],[Density * 48/weeks]] &lt;=2.5, 2, IF(TobComp[[#This Row],[Density * 48/weeks]] &lt;=40, 3, 4)))</f>
        <v>2</v>
      </c>
      <c r="J105" s="1">
        <f>IF(TobComp[[#This Row],[Density * 48/weeks]] &lt;=0.5, $O$2, IF(TobComp[[#This Row],[Density * 48/weeks]] &lt;=2.5, $O$3, IF(TobComp[[#This Row],[Density * 48/weeks]] &lt;=40, $O$4, $O$5)))</f>
        <v>25</v>
      </c>
    </row>
    <row r="106" spans="1:10" x14ac:dyDescent="0.2">
      <c r="A106" s="24">
        <v>4</v>
      </c>
      <c r="B106" s="1"/>
      <c r="C106" s="1" t="s">
        <v>310</v>
      </c>
      <c r="D106" s="1">
        <v>937</v>
      </c>
      <c r="E106" s="61">
        <v>47</v>
      </c>
      <c r="F106" s="1">
        <f>TobComp[[#This Row],[Number of Retailers in County]]/TobComp[[#This Row],[County Land Mass (mi^2)]]</f>
        <v>5.0160085378868728E-2</v>
      </c>
      <c r="G106" s="2"/>
      <c r="H106" s="62">
        <f>TobComp[[#This Row],[Retail Density of County]]*48</f>
        <v>2.4076840981856988</v>
      </c>
      <c r="I106" s="1">
        <f>IF(TobComp[[#This Row],[Density * 48/weeks]] &lt;=0.5, 1, IF(TobComp[[#This Row],[Density * 48/weeks]] &lt;=2.5, 2, IF(TobComp[[#This Row],[Density * 48/weeks]] &lt;=40, 3, 4)))</f>
        <v>2</v>
      </c>
      <c r="J106" s="1">
        <f>IF(TobComp[[#This Row],[Density * 48/weeks]] &lt;=0.5, $O$2, IF(TobComp[[#This Row],[Density * 48/weeks]] &lt;=2.5, $O$3, IF(TobComp[[#This Row],[Density * 48/weeks]] &lt;=40, $O$4, $O$5)))</f>
        <v>25</v>
      </c>
    </row>
    <row r="107" spans="1:10" x14ac:dyDescent="0.2">
      <c r="A107" s="24">
        <v>3</v>
      </c>
      <c r="B107" s="1"/>
      <c r="C107" s="1" t="s">
        <v>311</v>
      </c>
      <c r="D107" s="1">
        <v>1083.2</v>
      </c>
      <c r="E107" s="61">
        <v>51</v>
      </c>
      <c r="F107" s="1">
        <f>TobComp[[#This Row],[Number of Retailers in County]]/TobComp[[#This Row],[County Land Mass (mi^2)]]</f>
        <v>4.7082717872968978E-2</v>
      </c>
      <c r="G107" s="2"/>
      <c r="H107" s="62">
        <f>TobComp[[#This Row],[Retail Density of County]]*48</f>
        <v>2.2599704579025111</v>
      </c>
      <c r="I107" s="1">
        <f>IF(TobComp[[#This Row],[Density * 48/weeks]] &lt;=0.5, 1, IF(TobComp[[#This Row],[Density * 48/weeks]] &lt;=2.5, 2, IF(TobComp[[#This Row],[Density * 48/weeks]] &lt;=40, 3, 4)))</f>
        <v>2</v>
      </c>
      <c r="J107" s="1">
        <f>IF(TobComp[[#This Row],[Density * 48/weeks]] &lt;=0.5, $O$2, IF(TobComp[[#This Row],[Density * 48/weeks]] &lt;=2.5, $O$3, IF(TobComp[[#This Row],[Density * 48/weeks]] &lt;=40, $O$4, $O$5)))</f>
        <v>25</v>
      </c>
    </row>
    <row r="108" spans="1:10" x14ac:dyDescent="0.2">
      <c r="A108" s="24">
        <v>6</v>
      </c>
      <c r="B108" s="1"/>
      <c r="C108" s="1" t="s">
        <v>312</v>
      </c>
      <c r="D108" s="1">
        <v>960.3</v>
      </c>
      <c r="E108" s="61">
        <v>45</v>
      </c>
      <c r="F108" s="1">
        <f>TobComp[[#This Row],[Number of Retailers in County]]/TobComp[[#This Row],[County Land Mass (mi^2)]]</f>
        <v>4.6860356138706656E-2</v>
      </c>
      <c r="G108" s="2"/>
      <c r="H108" s="62">
        <f>TobComp[[#This Row],[Retail Density of County]]*48</f>
        <v>2.2492970946579196</v>
      </c>
      <c r="I108" s="1">
        <f>IF(TobComp[[#This Row],[Density * 48/weeks]] &lt;=0.5, 1, IF(TobComp[[#This Row],[Density * 48/weeks]] &lt;=2.5, 2, IF(TobComp[[#This Row],[Density * 48/weeks]] &lt;=40, 3, 4)))</f>
        <v>2</v>
      </c>
      <c r="J108" s="1">
        <f>IF(TobComp[[#This Row],[Density * 48/weeks]] &lt;=0.5, $O$2, IF(TobComp[[#This Row],[Density * 48/weeks]] &lt;=2.5, $O$3, IF(TobComp[[#This Row],[Density * 48/weeks]] &lt;=40, $O$4, $O$5)))</f>
        <v>25</v>
      </c>
    </row>
    <row r="109" spans="1:10" x14ac:dyDescent="0.2">
      <c r="A109" s="24">
        <v>1</v>
      </c>
      <c r="B109" s="1"/>
      <c r="C109" s="1" t="s">
        <v>313</v>
      </c>
      <c r="D109" s="1">
        <v>899.7</v>
      </c>
      <c r="E109" s="61">
        <v>42</v>
      </c>
      <c r="F109" s="1">
        <f>TobComp[[#This Row],[Number of Retailers in County]]/TobComp[[#This Row],[County Land Mass (mi^2)]]</f>
        <v>4.6682227409136377E-2</v>
      </c>
      <c r="G109" s="2"/>
      <c r="H109" s="62">
        <f>TobComp[[#This Row],[Retail Density of County]]*48</f>
        <v>2.240746915638546</v>
      </c>
      <c r="I109" s="1">
        <f>IF(TobComp[[#This Row],[Density * 48/weeks]] &lt;=0.5, 1, IF(TobComp[[#This Row],[Density * 48/weeks]] &lt;=2.5, 2, IF(TobComp[[#This Row],[Density * 48/weeks]] &lt;=40, 3, 4)))</f>
        <v>2</v>
      </c>
      <c r="J109" s="1">
        <f>IF(TobComp[[#This Row],[Density * 48/weeks]] &lt;=0.5, $O$2, IF(TobComp[[#This Row],[Density * 48/weeks]] &lt;=2.5, $O$3, IF(TobComp[[#This Row],[Density * 48/weeks]] &lt;=40, $O$4, $O$5)))</f>
        <v>25</v>
      </c>
    </row>
    <row r="110" spans="1:10" x14ac:dyDescent="0.2">
      <c r="A110" s="24">
        <v>7</v>
      </c>
      <c r="B110" s="1"/>
      <c r="C110" s="1" t="s">
        <v>314</v>
      </c>
      <c r="D110" s="1">
        <v>905.4</v>
      </c>
      <c r="E110" s="61">
        <v>42</v>
      </c>
      <c r="F110" s="1">
        <f>TobComp[[#This Row],[Number of Retailers in County]]/TobComp[[#This Row],[County Land Mass (mi^2)]]</f>
        <v>4.6388336646785953E-2</v>
      </c>
      <c r="G110" s="2"/>
      <c r="H110" s="62">
        <f>TobComp[[#This Row],[Retail Density of County]]*48</f>
        <v>2.2266401590457257</v>
      </c>
      <c r="I110" s="1">
        <f>IF(TobComp[[#This Row],[Density * 48/weeks]] &lt;=0.5, 1, IF(TobComp[[#This Row],[Density * 48/weeks]] &lt;=2.5, 2, IF(TobComp[[#This Row],[Density * 48/weeks]] &lt;=40, 3, 4)))</f>
        <v>2</v>
      </c>
      <c r="J110" s="1">
        <f>IF(TobComp[[#This Row],[Density * 48/weeks]] &lt;=0.5, $O$2, IF(TobComp[[#This Row],[Density * 48/weeks]] &lt;=2.5, $O$3, IF(TobComp[[#This Row],[Density * 48/weeks]] &lt;=40, $O$4, $O$5)))</f>
        <v>25</v>
      </c>
    </row>
    <row r="111" spans="1:10" x14ac:dyDescent="0.2">
      <c r="A111" s="24">
        <v>8</v>
      </c>
      <c r="B111" s="1"/>
      <c r="C111" s="1" t="s">
        <v>315</v>
      </c>
      <c r="D111" s="1">
        <v>1058.2</v>
      </c>
      <c r="E111" s="61">
        <v>49</v>
      </c>
      <c r="F111" s="1">
        <f>TobComp[[#This Row],[Number of Retailers in County]]/TobComp[[#This Row],[County Land Mass (mi^2)]]</f>
        <v>4.6305046305046303E-2</v>
      </c>
      <c r="G111" s="2"/>
      <c r="H111" s="62">
        <f>TobComp[[#This Row],[Retail Density of County]]*48</f>
        <v>2.2226422226422224</v>
      </c>
      <c r="I111" s="1">
        <f>IF(TobComp[[#This Row],[Density * 48/weeks]] &lt;=0.5, 1, IF(TobComp[[#This Row],[Density * 48/weeks]] &lt;=2.5, 2, IF(TobComp[[#This Row],[Density * 48/weeks]] &lt;=40, 3, 4)))</f>
        <v>2</v>
      </c>
      <c r="J111" s="1">
        <f>IF(TobComp[[#This Row],[Density * 48/weeks]] &lt;=0.5, $O$2, IF(TobComp[[#This Row],[Density * 48/weeks]] &lt;=2.5, $O$3, IF(TobComp[[#This Row],[Density * 48/weeks]] &lt;=40, $O$4, $O$5)))</f>
        <v>25</v>
      </c>
    </row>
    <row r="112" spans="1:10" x14ac:dyDescent="0.2">
      <c r="A112" s="24">
        <v>11</v>
      </c>
      <c r="B112" s="1"/>
      <c r="C112" s="1" t="s">
        <v>316</v>
      </c>
      <c r="D112" s="1">
        <v>590.6</v>
      </c>
      <c r="E112" s="61">
        <v>27</v>
      </c>
      <c r="F112" s="1">
        <f>TobComp[[#This Row],[Number of Retailers in County]]/TobComp[[#This Row],[County Land Mass (mi^2)]]</f>
        <v>4.571622079241449E-2</v>
      </c>
      <c r="G112" s="2"/>
      <c r="H112" s="62">
        <f>TobComp[[#This Row],[Retail Density of County]]*48</f>
        <v>2.1943785980358954</v>
      </c>
      <c r="I112" s="1">
        <f>IF(TobComp[[#This Row],[Density * 48/weeks]] &lt;=0.5, 1, IF(TobComp[[#This Row],[Density * 48/weeks]] &lt;=2.5, 2, IF(TobComp[[#This Row],[Density * 48/weeks]] &lt;=40, 3, 4)))</f>
        <v>2</v>
      </c>
      <c r="J112" s="1">
        <f>IF(TobComp[[#This Row],[Density * 48/weeks]] &lt;=0.5, $O$2, IF(TobComp[[#This Row],[Density * 48/weeks]] &lt;=2.5, $O$3, IF(TobComp[[#This Row],[Density * 48/weeks]] &lt;=40, $O$4, $O$5)))</f>
        <v>25</v>
      </c>
    </row>
    <row r="113" spans="1:10" x14ac:dyDescent="0.2">
      <c r="A113" s="24">
        <v>8</v>
      </c>
      <c r="B113" s="1"/>
      <c r="C113" s="1" t="s">
        <v>317</v>
      </c>
      <c r="D113" s="1">
        <v>1325.4</v>
      </c>
      <c r="E113" s="61">
        <v>60</v>
      </c>
      <c r="F113" s="1">
        <f>TobComp[[#This Row],[Number of Retailers in County]]/TobComp[[#This Row],[County Land Mass (mi^2)]]</f>
        <v>4.5269352648257127E-2</v>
      </c>
      <c r="G113" s="2"/>
      <c r="H113" s="62">
        <f>TobComp[[#This Row],[Retail Density of County]]*48</f>
        <v>2.1729289271163421</v>
      </c>
      <c r="I113" s="1">
        <f>IF(TobComp[[#This Row],[Density * 48/weeks]] &lt;=0.5, 1, IF(TobComp[[#This Row],[Density * 48/weeks]] &lt;=2.5, 2, IF(TobComp[[#This Row],[Density * 48/weeks]] &lt;=40, 3, 4)))</f>
        <v>2</v>
      </c>
      <c r="J113" s="1">
        <f>IF(TobComp[[#This Row],[Density * 48/weeks]] &lt;=0.5, $O$2, IF(TobComp[[#This Row],[Density * 48/weeks]] &lt;=2.5, $O$3, IF(TobComp[[#This Row],[Density * 48/weeks]] &lt;=40, $O$4, $O$5)))</f>
        <v>25</v>
      </c>
    </row>
    <row r="114" spans="1:10" x14ac:dyDescent="0.2">
      <c r="A114" s="24">
        <v>3</v>
      </c>
      <c r="B114" s="1"/>
      <c r="C114" s="1" t="s">
        <v>318</v>
      </c>
      <c r="D114" s="1">
        <v>890.8</v>
      </c>
      <c r="E114" s="61">
        <v>40</v>
      </c>
      <c r="F114" s="1">
        <f>TobComp[[#This Row],[Number of Retailers in County]]/TobComp[[#This Row],[County Land Mass (mi^2)]]</f>
        <v>4.4903457566232603E-2</v>
      </c>
      <c r="G114" s="2"/>
      <c r="H114" s="62">
        <f>TobComp[[#This Row],[Retail Density of County]]*48</f>
        <v>2.1553659631791651</v>
      </c>
      <c r="I114" s="1">
        <f>IF(TobComp[[#This Row],[Density * 48/weeks]] &lt;=0.5, 1, IF(TobComp[[#This Row],[Density * 48/weeks]] &lt;=2.5, 2, IF(TobComp[[#This Row],[Density * 48/weeks]] &lt;=40, 3, 4)))</f>
        <v>2</v>
      </c>
      <c r="J114" s="1">
        <f>IF(TobComp[[#This Row],[Density * 48/weeks]] &lt;=0.5, $O$2, IF(TobComp[[#This Row],[Density * 48/weeks]] &lt;=2.5, $O$3, IF(TobComp[[#This Row],[Density * 48/weeks]] &lt;=40, $O$4, $O$5)))</f>
        <v>25</v>
      </c>
    </row>
    <row r="115" spans="1:10" x14ac:dyDescent="0.2">
      <c r="A115" s="24">
        <v>7</v>
      </c>
      <c r="B115" s="1"/>
      <c r="C115" s="1" t="s">
        <v>319</v>
      </c>
      <c r="D115" s="1">
        <v>934.1</v>
      </c>
      <c r="E115" s="61">
        <v>41</v>
      </c>
      <c r="F115" s="1">
        <f>TobComp[[#This Row],[Number of Retailers in County]]/TobComp[[#This Row],[County Land Mass (mi^2)]]</f>
        <v>4.3892516861149769E-2</v>
      </c>
      <c r="G115" s="2"/>
      <c r="H115" s="62">
        <f>TobComp[[#This Row],[Retail Density of County]]*48</f>
        <v>2.1068408093351891</v>
      </c>
      <c r="I115" s="1">
        <f>IF(TobComp[[#This Row],[Density * 48/weeks]] &lt;=0.5, 1, IF(TobComp[[#This Row],[Density * 48/weeks]] &lt;=2.5, 2, IF(TobComp[[#This Row],[Density * 48/weeks]] &lt;=40, 3, 4)))</f>
        <v>2</v>
      </c>
      <c r="J115" s="1">
        <f>IF(TobComp[[#This Row],[Density * 48/weeks]] &lt;=0.5, $O$2, IF(TobComp[[#This Row],[Density * 48/weeks]] &lt;=2.5, $O$3, IF(TobComp[[#This Row],[Density * 48/weeks]] &lt;=40, $O$4, $O$5)))</f>
        <v>25</v>
      </c>
    </row>
    <row r="116" spans="1:10" x14ac:dyDescent="0.2">
      <c r="A116" s="24">
        <v>7</v>
      </c>
      <c r="B116" s="1"/>
      <c r="C116" s="1" t="s">
        <v>320</v>
      </c>
      <c r="D116" s="1">
        <v>983</v>
      </c>
      <c r="E116" s="61">
        <v>42</v>
      </c>
      <c r="F116" s="1">
        <f>TobComp[[#This Row],[Number of Retailers in County]]/TobComp[[#This Row],[County Land Mass (mi^2)]]</f>
        <v>4.2726347914547304E-2</v>
      </c>
      <c r="G116" s="2"/>
      <c r="H116" s="62">
        <f>TobComp[[#This Row],[Retail Density of County]]*48</f>
        <v>2.0508646998982707</v>
      </c>
      <c r="I116" s="1">
        <f>IF(TobComp[[#This Row],[Density * 48/weeks]] &lt;=0.5, 1, IF(TobComp[[#This Row],[Density * 48/weeks]] &lt;=2.5, 2, IF(TobComp[[#This Row],[Density * 48/weeks]] &lt;=40, 3, 4)))</f>
        <v>2</v>
      </c>
      <c r="J116" s="1">
        <f>IF(TobComp[[#This Row],[Density * 48/weeks]] &lt;=0.5, $O$2, IF(TobComp[[#This Row],[Density * 48/weeks]] &lt;=2.5, $O$3, IF(TobComp[[#This Row],[Density * 48/weeks]] &lt;=40, $O$4, $O$5)))</f>
        <v>25</v>
      </c>
    </row>
    <row r="117" spans="1:10" x14ac:dyDescent="0.2">
      <c r="A117" s="24">
        <v>7</v>
      </c>
      <c r="B117" s="1"/>
      <c r="C117" s="1" t="s">
        <v>321</v>
      </c>
      <c r="D117" s="1">
        <v>855.2</v>
      </c>
      <c r="E117" s="61">
        <v>36</v>
      </c>
      <c r="F117" s="1">
        <f>TobComp[[#This Row],[Number of Retailers in County]]/TobComp[[#This Row],[County Land Mass (mi^2)]]</f>
        <v>4.2095416276894289E-2</v>
      </c>
      <c r="G117" s="2"/>
      <c r="H117" s="62">
        <f>TobComp[[#This Row],[Retail Density of County]]*48</f>
        <v>2.020579981290926</v>
      </c>
      <c r="I117" s="1">
        <f>IF(TobComp[[#This Row],[Density * 48/weeks]] &lt;=0.5, 1, IF(TobComp[[#This Row],[Density * 48/weeks]] &lt;=2.5, 2, IF(TobComp[[#This Row],[Density * 48/weeks]] &lt;=40, 3, 4)))</f>
        <v>2</v>
      </c>
      <c r="J117" s="1">
        <f>IF(TobComp[[#This Row],[Density * 48/weeks]] &lt;=0.5, $O$2, IF(TobComp[[#This Row],[Density * 48/weeks]] &lt;=2.5, $O$3, IF(TobComp[[#This Row],[Density * 48/weeks]] &lt;=40, $O$4, $O$5)))</f>
        <v>25</v>
      </c>
    </row>
    <row r="118" spans="1:10" x14ac:dyDescent="0.2">
      <c r="A118" s="24">
        <v>4</v>
      </c>
      <c r="B118" s="1"/>
      <c r="C118" s="1" t="s">
        <v>322</v>
      </c>
      <c r="D118" s="1">
        <v>811.4</v>
      </c>
      <c r="E118" s="61">
        <v>34</v>
      </c>
      <c r="F118" s="1">
        <f>TobComp[[#This Row],[Number of Retailers in County]]/TobComp[[#This Row],[County Land Mass (mi^2)]]</f>
        <v>4.190288390436283E-2</v>
      </c>
      <c r="G118" s="2"/>
      <c r="H118" s="62">
        <f>TobComp[[#This Row],[Retail Density of County]]*48</f>
        <v>2.0113384274094157</v>
      </c>
      <c r="I118" s="1">
        <f>IF(TobComp[[#This Row],[Density * 48/weeks]] &lt;=0.5, 1, IF(TobComp[[#This Row],[Density * 48/weeks]] &lt;=2.5, 2, IF(TobComp[[#This Row],[Density * 48/weeks]] &lt;=40, 3, 4)))</f>
        <v>2</v>
      </c>
      <c r="J118" s="1">
        <f>IF(TobComp[[#This Row],[Density * 48/weeks]] &lt;=0.5, $O$2, IF(TobComp[[#This Row],[Density * 48/weeks]] &lt;=2.5, $O$3, IF(TobComp[[#This Row],[Density * 48/weeks]] &lt;=40, $O$4, $O$5)))</f>
        <v>25</v>
      </c>
    </row>
    <row r="119" spans="1:10" x14ac:dyDescent="0.2">
      <c r="A119" s="24">
        <v>5</v>
      </c>
      <c r="B119" s="1"/>
      <c r="C119" s="1" t="s">
        <v>323</v>
      </c>
      <c r="D119" s="1">
        <v>693.8</v>
      </c>
      <c r="E119" s="61">
        <v>29</v>
      </c>
      <c r="F119" s="1">
        <f>TobComp[[#This Row],[Number of Retailers in County]]/TobComp[[#This Row],[County Land Mass (mi^2)]]</f>
        <v>4.1798789276448547E-2</v>
      </c>
      <c r="G119" s="2"/>
      <c r="H119" s="62">
        <f>TobComp[[#This Row],[Retail Density of County]]*48</f>
        <v>2.0063418852695305</v>
      </c>
      <c r="I119" s="1">
        <f>IF(TobComp[[#This Row],[Density * 48/weeks]] &lt;=0.5, 1, IF(TobComp[[#This Row],[Density * 48/weeks]] &lt;=2.5, 2, IF(TobComp[[#This Row],[Density * 48/weeks]] &lt;=40, 3, 4)))</f>
        <v>2</v>
      </c>
      <c r="J119" s="1">
        <f>IF(TobComp[[#This Row],[Density * 48/weeks]] &lt;=0.5, $O$2, IF(TobComp[[#This Row],[Density * 48/weeks]] &lt;=2.5, $O$3, IF(TobComp[[#This Row],[Density * 48/weeks]] &lt;=40, $O$4, $O$5)))</f>
        <v>25</v>
      </c>
    </row>
    <row r="120" spans="1:10" x14ac:dyDescent="0.2">
      <c r="A120" s="24">
        <v>8</v>
      </c>
      <c r="B120" s="1"/>
      <c r="C120" s="1" t="s">
        <v>324</v>
      </c>
      <c r="D120" s="1">
        <v>1279.5</v>
      </c>
      <c r="E120" s="61">
        <v>52</v>
      </c>
      <c r="F120" s="1">
        <f>TobComp[[#This Row],[Number of Retailers in County]]/TobComp[[#This Row],[County Land Mass (mi^2)]]</f>
        <v>4.0640875341930442E-2</v>
      </c>
      <c r="G120" s="2"/>
      <c r="H120" s="62">
        <f>TobComp[[#This Row],[Retail Density of County]]*48</f>
        <v>1.9507620164126611</v>
      </c>
      <c r="I120" s="1">
        <f>IF(TobComp[[#This Row],[Density * 48/weeks]] &lt;=0.5, 1, IF(TobComp[[#This Row],[Density * 48/weeks]] &lt;=2.5, 2, IF(TobComp[[#This Row],[Density * 48/weeks]] &lt;=40, 3, 4)))</f>
        <v>2</v>
      </c>
      <c r="J120" s="1">
        <f>IF(TobComp[[#This Row],[Density * 48/weeks]] &lt;=0.5, $O$2, IF(TobComp[[#This Row],[Density * 48/weeks]] &lt;=2.5, $O$3, IF(TobComp[[#This Row],[Density * 48/weeks]] &lt;=40, $O$4, $O$5)))</f>
        <v>25</v>
      </c>
    </row>
    <row r="121" spans="1:10" x14ac:dyDescent="0.2">
      <c r="A121" s="24">
        <v>8</v>
      </c>
      <c r="B121" s="1"/>
      <c r="C121" s="1" t="s">
        <v>325</v>
      </c>
      <c r="D121" s="1">
        <v>791</v>
      </c>
      <c r="E121" s="61">
        <v>32</v>
      </c>
      <c r="F121" s="1">
        <f>TobComp[[#This Row],[Number of Retailers in County]]/TobComp[[#This Row],[County Land Mass (mi^2)]]</f>
        <v>4.0455120101137804E-2</v>
      </c>
      <c r="G121" s="2"/>
      <c r="H121" s="62">
        <f>TobComp[[#This Row],[Retail Density of County]]*48</f>
        <v>1.9418457648546146</v>
      </c>
      <c r="I121" s="1">
        <f>IF(TobComp[[#This Row],[Density * 48/weeks]] &lt;=0.5, 1, IF(TobComp[[#This Row],[Density * 48/weeks]] &lt;=2.5, 2, IF(TobComp[[#This Row],[Density * 48/weeks]] &lt;=40, 3, 4)))</f>
        <v>2</v>
      </c>
      <c r="J121" s="1">
        <f>IF(TobComp[[#This Row],[Density * 48/weeks]] &lt;=0.5, $O$2, IF(TobComp[[#This Row],[Density * 48/weeks]] &lt;=2.5, $O$3, IF(TobComp[[#This Row],[Density * 48/weeks]] &lt;=40, $O$4, $O$5)))</f>
        <v>25</v>
      </c>
    </row>
    <row r="122" spans="1:10" x14ac:dyDescent="0.2">
      <c r="A122" s="24">
        <v>7</v>
      </c>
      <c r="B122" s="1"/>
      <c r="C122" s="1" t="s">
        <v>326</v>
      </c>
      <c r="D122" s="1">
        <v>1073.2</v>
      </c>
      <c r="E122" s="61">
        <v>42</v>
      </c>
      <c r="F122" s="1">
        <f>TobComp[[#This Row],[Number of Retailers in County]]/TobComp[[#This Row],[County Land Mass (mi^2)]]</f>
        <v>3.9135296310100633E-2</v>
      </c>
      <c r="G122" s="2"/>
      <c r="H122" s="62">
        <f>TobComp[[#This Row],[Retail Density of County]]*48</f>
        <v>1.8784942228848305</v>
      </c>
      <c r="I122" s="1">
        <f>IF(TobComp[[#This Row],[Density * 48/weeks]] &lt;=0.5, 1, IF(TobComp[[#This Row],[Density * 48/weeks]] &lt;=2.5, 2, IF(TobComp[[#This Row],[Density * 48/weeks]] &lt;=40, 3, 4)))</f>
        <v>2</v>
      </c>
      <c r="J122" s="1">
        <f>IF(TobComp[[#This Row],[Density * 48/weeks]] &lt;=0.5, $O$2, IF(TobComp[[#This Row],[Density * 48/weeks]] &lt;=2.5, $O$3, IF(TobComp[[#This Row],[Density * 48/weeks]] &lt;=40, $O$4, $O$5)))</f>
        <v>25</v>
      </c>
    </row>
    <row r="123" spans="1:10" x14ac:dyDescent="0.2">
      <c r="A123" s="24">
        <v>1</v>
      </c>
      <c r="B123" s="1"/>
      <c r="C123" s="1" t="s">
        <v>327</v>
      </c>
      <c r="D123" s="1">
        <v>1004.7</v>
      </c>
      <c r="E123" s="61">
        <v>39</v>
      </c>
      <c r="F123" s="1">
        <f>TobComp[[#This Row],[Number of Retailers in County]]/TobComp[[#This Row],[County Land Mass (mi^2)]]</f>
        <v>3.8817557479844729E-2</v>
      </c>
      <c r="G123" s="2"/>
      <c r="H123" s="62">
        <f>TobComp[[#This Row],[Retail Density of County]]*48</f>
        <v>1.8632427590325471</v>
      </c>
      <c r="I123" s="1">
        <f>IF(TobComp[[#This Row],[Density * 48/weeks]] &lt;=0.5, 1, IF(TobComp[[#This Row],[Density * 48/weeks]] &lt;=2.5, 2, IF(TobComp[[#This Row],[Density * 48/weeks]] &lt;=40, 3, 4)))</f>
        <v>2</v>
      </c>
      <c r="J123" s="1">
        <f>IF(TobComp[[#This Row],[Density * 48/weeks]] &lt;=0.5, $O$2, IF(TobComp[[#This Row],[Density * 48/weeks]] &lt;=2.5, $O$3, IF(TobComp[[#This Row],[Density * 48/weeks]] &lt;=40, $O$4, $O$5)))</f>
        <v>25</v>
      </c>
    </row>
    <row r="124" spans="1:10" x14ac:dyDescent="0.2">
      <c r="A124" s="24">
        <v>4</v>
      </c>
      <c r="B124" s="1"/>
      <c r="C124" s="1" t="s">
        <v>328</v>
      </c>
      <c r="D124" s="1">
        <v>284.39999999999998</v>
      </c>
      <c r="E124" s="61">
        <v>11</v>
      </c>
      <c r="F124" s="1">
        <f>TobComp[[#This Row],[Number of Retailers in County]]/TobComp[[#This Row],[County Land Mass (mi^2)]]</f>
        <v>3.867791842475387E-2</v>
      </c>
      <c r="G124" s="2"/>
      <c r="H124" s="62">
        <f>TobComp[[#This Row],[Retail Density of County]]*48</f>
        <v>1.8565400843881856</v>
      </c>
      <c r="I124" s="1">
        <f>IF(TobComp[[#This Row],[Density * 48/weeks]] &lt;=0.5, 1, IF(TobComp[[#This Row],[Density * 48/weeks]] &lt;=2.5, 2, IF(TobComp[[#This Row],[Density * 48/weeks]] &lt;=40, 3, 4)))</f>
        <v>2</v>
      </c>
      <c r="J124" s="1">
        <f>IF(TobComp[[#This Row],[Density * 48/weeks]] &lt;=0.5, $O$2, IF(TobComp[[#This Row],[Density * 48/weeks]] &lt;=2.5, $O$3, IF(TobComp[[#This Row],[Density * 48/weeks]] &lt;=40, $O$4, $O$5)))</f>
        <v>25</v>
      </c>
    </row>
    <row r="125" spans="1:10" x14ac:dyDescent="0.2">
      <c r="A125" s="24">
        <v>7</v>
      </c>
      <c r="B125" s="1"/>
      <c r="C125" s="1" t="s">
        <v>329</v>
      </c>
      <c r="D125" s="1">
        <v>712.5</v>
      </c>
      <c r="E125" s="61">
        <v>27</v>
      </c>
      <c r="F125" s="1">
        <f>TobComp[[#This Row],[Number of Retailers in County]]/TobComp[[#This Row],[County Land Mass (mi^2)]]</f>
        <v>3.7894736842105266E-2</v>
      </c>
      <c r="G125" s="2"/>
      <c r="H125" s="62">
        <f>TobComp[[#This Row],[Retail Density of County]]*48</f>
        <v>1.8189473684210529</v>
      </c>
      <c r="I125" s="1">
        <f>IF(TobComp[[#This Row],[Density * 48/weeks]] &lt;=0.5, 1, IF(TobComp[[#This Row],[Density * 48/weeks]] &lt;=2.5, 2, IF(TobComp[[#This Row],[Density * 48/weeks]] &lt;=40, 3, 4)))</f>
        <v>2</v>
      </c>
      <c r="J125" s="1">
        <f>IF(TobComp[[#This Row],[Density * 48/weeks]] &lt;=0.5, $O$2, IF(TobComp[[#This Row],[Density * 48/weeks]] &lt;=2.5, $O$3, IF(TobComp[[#This Row],[Density * 48/weeks]] &lt;=40, $O$4, $O$5)))</f>
        <v>25</v>
      </c>
    </row>
    <row r="126" spans="1:10" x14ac:dyDescent="0.2">
      <c r="A126" s="24">
        <v>11</v>
      </c>
      <c r="B126" s="1"/>
      <c r="C126" s="1" t="s">
        <v>330</v>
      </c>
      <c r="D126" s="1">
        <v>880.2</v>
      </c>
      <c r="E126" s="61">
        <v>33</v>
      </c>
      <c r="F126" s="1">
        <f>TobComp[[#This Row],[Number of Retailers in County]]/TobComp[[#This Row],[County Land Mass (mi^2)]]</f>
        <v>3.7491479209270616E-2</v>
      </c>
      <c r="G126" s="2"/>
      <c r="H126" s="62">
        <f>TobComp[[#This Row],[Retail Density of County]]*48</f>
        <v>1.7995910020449895</v>
      </c>
      <c r="I126" s="1">
        <f>IF(TobComp[[#This Row],[Density * 48/weeks]] &lt;=0.5, 1, IF(TobComp[[#This Row],[Density * 48/weeks]] &lt;=2.5, 2, IF(TobComp[[#This Row],[Density * 48/weeks]] &lt;=40, 3, 4)))</f>
        <v>2</v>
      </c>
      <c r="J126" s="1">
        <f>IF(TobComp[[#This Row],[Density * 48/weeks]] &lt;=0.5, $O$2, IF(TobComp[[#This Row],[Density * 48/weeks]] &lt;=2.5, $O$3, IF(TobComp[[#This Row],[Density * 48/weeks]] &lt;=40, $O$4, $O$5)))</f>
        <v>25</v>
      </c>
    </row>
    <row r="127" spans="1:10" x14ac:dyDescent="0.2">
      <c r="A127" s="24">
        <v>8</v>
      </c>
      <c r="B127" s="1"/>
      <c r="C127" s="1" t="s">
        <v>331</v>
      </c>
      <c r="D127" s="1">
        <v>747.8</v>
      </c>
      <c r="E127" s="61">
        <v>28</v>
      </c>
      <c r="F127" s="1">
        <f>TobComp[[#This Row],[Number of Retailers in County]]/TobComp[[#This Row],[County Land Mass (mi^2)]]</f>
        <v>3.7443166622091469E-2</v>
      </c>
      <c r="G127" s="2"/>
      <c r="H127" s="62">
        <f>TobComp[[#This Row],[Retail Density of County]]*48</f>
        <v>1.7972719978603906</v>
      </c>
      <c r="I127" s="1">
        <f>IF(TobComp[[#This Row],[Density * 48/weeks]] &lt;=0.5, 1, IF(TobComp[[#This Row],[Density * 48/weeks]] &lt;=2.5, 2, IF(TobComp[[#This Row],[Density * 48/weeks]] &lt;=40, 3, 4)))</f>
        <v>2</v>
      </c>
      <c r="J127" s="1">
        <f>IF(TobComp[[#This Row],[Density * 48/weeks]] &lt;=0.5, $O$2, IF(TobComp[[#This Row],[Density * 48/weeks]] &lt;=2.5, $O$3, IF(TobComp[[#This Row],[Density * 48/weeks]] &lt;=40, $O$4, $O$5)))</f>
        <v>25</v>
      </c>
    </row>
    <row r="128" spans="1:10" x14ac:dyDescent="0.2">
      <c r="A128" s="24">
        <v>7</v>
      </c>
      <c r="B128" s="1"/>
      <c r="C128" s="1" t="s">
        <v>332</v>
      </c>
      <c r="D128" s="1">
        <v>1016.4</v>
      </c>
      <c r="E128" s="61">
        <v>38</v>
      </c>
      <c r="F128" s="1">
        <f>TobComp[[#This Row],[Number of Retailers in County]]/TobComp[[#This Row],[County Land Mass (mi^2)]]</f>
        <v>3.7386855568673751E-2</v>
      </c>
      <c r="G128" s="2"/>
      <c r="H128" s="62">
        <f>TobComp[[#This Row],[Retail Density of County]]*48</f>
        <v>1.7945690672963401</v>
      </c>
      <c r="I128" s="1">
        <f>IF(TobComp[[#This Row],[Density * 48/weeks]] &lt;=0.5, 1, IF(TobComp[[#This Row],[Density * 48/weeks]] &lt;=2.5, 2, IF(TobComp[[#This Row],[Density * 48/weeks]] &lt;=40, 3, 4)))</f>
        <v>2</v>
      </c>
      <c r="J128" s="1">
        <f>IF(TobComp[[#This Row],[Density * 48/weeks]] &lt;=0.5, $O$2, IF(TobComp[[#This Row],[Density * 48/weeks]] &lt;=2.5, $O$3, IF(TobComp[[#This Row],[Density * 48/weeks]] &lt;=40, $O$4, $O$5)))</f>
        <v>25</v>
      </c>
    </row>
    <row r="129" spans="1:12" x14ac:dyDescent="0.2">
      <c r="A129" s="24">
        <v>1</v>
      </c>
      <c r="B129" s="1"/>
      <c r="C129" s="1" t="s">
        <v>333</v>
      </c>
      <c r="D129" s="1">
        <v>887.4</v>
      </c>
      <c r="E129" s="61">
        <v>33</v>
      </c>
      <c r="F129" s="1">
        <f>TobComp[[#This Row],[Number of Retailers in County]]/TobComp[[#This Row],[County Land Mass (mi^2)]]</f>
        <v>3.7187288708586883E-2</v>
      </c>
      <c r="G129" s="2"/>
      <c r="H129" s="62">
        <f>TobComp[[#This Row],[Retail Density of County]]*48</f>
        <v>1.7849898580121704</v>
      </c>
      <c r="I129" s="1">
        <f>IF(TobComp[[#This Row],[Density * 48/weeks]] &lt;=0.5, 1, IF(TobComp[[#This Row],[Density * 48/weeks]] &lt;=2.5, 2, IF(TobComp[[#This Row],[Density * 48/weeks]] &lt;=40, 3, 4)))</f>
        <v>2</v>
      </c>
      <c r="J129" s="1">
        <f>IF(TobComp[[#This Row],[Density * 48/weeks]] &lt;=0.5, $O$2, IF(TobComp[[#This Row],[Density * 48/weeks]] &lt;=2.5, $O$3, IF(TobComp[[#This Row],[Density * 48/weeks]] &lt;=40, $O$4, $O$5)))</f>
        <v>25</v>
      </c>
      <c r="L129">
        <f>AVERAGEIF(TobComp[Public Health Region], 1, TobComp[Density*48 Tier '#])</f>
        <v>1.6097560975609757</v>
      </c>
    </row>
    <row r="130" spans="1:12" x14ac:dyDescent="0.2">
      <c r="A130" s="24">
        <v>8</v>
      </c>
      <c r="B130" s="1"/>
      <c r="C130" s="1" t="s">
        <v>334</v>
      </c>
      <c r="D130" s="1">
        <v>1551.9</v>
      </c>
      <c r="E130" s="61">
        <v>57</v>
      </c>
      <c r="F130" s="1">
        <f>TobComp[[#This Row],[Number of Retailers in County]]/TobComp[[#This Row],[County Land Mass (mi^2)]]</f>
        <v>3.6729170693988011E-2</v>
      </c>
      <c r="G130" s="2"/>
      <c r="H130" s="62">
        <f>TobComp[[#This Row],[Retail Density of County]]*48</f>
        <v>1.7630001933114245</v>
      </c>
      <c r="I130" s="1">
        <f>IF(TobComp[[#This Row],[Density * 48/weeks]] &lt;=0.5, 1, IF(TobComp[[#This Row],[Density * 48/weeks]] &lt;=2.5, 2, IF(TobComp[[#This Row],[Density * 48/weeks]] &lt;=40, 3, 4)))</f>
        <v>2</v>
      </c>
      <c r="J130" s="1">
        <f>IF(TobComp[[#This Row],[Density * 48/weeks]] &lt;=0.5, $O$2, IF(TobComp[[#This Row],[Density * 48/weeks]] &lt;=2.5, $O$3, IF(TobComp[[#This Row],[Density * 48/weeks]] &lt;=40, $O$4, $O$5)))</f>
        <v>25</v>
      </c>
    </row>
    <row r="131" spans="1:12" x14ac:dyDescent="0.2">
      <c r="A131" s="24">
        <v>2</v>
      </c>
      <c r="B131" s="1"/>
      <c r="C131" s="1" t="s">
        <v>335</v>
      </c>
      <c r="D131" s="1">
        <v>912</v>
      </c>
      <c r="E131" s="61">
        <v>33</v>
      </c>
      <c r="F131" s="1">
        <f>TobComp[[#This Row],[Number of Retailers in County]]/TobComp[[#This Row],[County Land Mass (mi^2)]]</f>
        <v>3.6184210526315791E-2</v>
      </c>
      <c r="G131" s="2"/>
      <c r="H131" s="62">
        <f>TobComp[[#This Row],[Retail Density of County]]*48</f>
        <v>1.736842105263158</v>
      </c>
      <c r="I131" s="1">
        <f>IF(TobComp[[#This Row],[Density * 48/weeks]] &lt;=0.5, 1, IF(TobComp[[#This Row],[Density * 48/weeks]] &lt;=2.5, 2, IF(TobComp[[#This Row],[Density * 48/weeks]] &lt;=40, 3, 4)))</f>
        <v>2</v>
      </c>
      <c r="J131" s="1">
        <f>IF(TobComp[[#This Row],[Density * 48/weeks]] &lt;=0.5, $O$2, IF(TobComp[[#This Row],[Density * 48/weeks]] &lt;=2.5, $O$3, IF(TobComp[[#This Row],[Density * 48/weeks]] &lt;=40, $O$4, $O$5)))</f>
        <v>25</v>
      </c>
    </row>
    <row r="132" spans="1:12" x14ac:dyDescent="0.2">
      <c r="A132" s="24">
        <v>1</v>
      </c>
      <c r="B132" s="1"/>
      <c r="C132" s="1" t="s">
        <v>336</v>
      </c>
      <c r="D132" s="1">
        <v>926</v>
      </c>
      <c r="E132" s="61">
        <v>33</v>
      </c>
      <c r="F132" s="1">
        <f>TobComp[[#This Row],[Number of Retailers in County]]/TobComp[[#This Row],[County Land Mass (mi^2)]]</f>
        <v>3.5637149028077755E-2</v>
      </c>
      <c r="G132" s="2"/>
      <c r="H132" s="62">
        <f>TobComp[[#This Row],[Retail Density of County]]*48</f>
        <v>1.7105831533477323</v>
      </c>
      <c r="I132" s="1">
        <f>IF(TobComp[[#This Row],[Density * 48/weeks]] &lt;=0.5, 1, IF(TobComp[[#This Row],[Density * 48/weeks]] &lt;=2.5, 2, IF(TobComp[[#This Row],[Density * 48/weeks]] &lt;=40, 3, 4)))</f>
        <v>2</v>
      </c>
      <c r="J132" s="1">
        <f>IF(TobComp[[#This Row],[Density * 48/weeks]] &lt;=0.5, $O$2, IF(TobComp[[#This Row],[Density * 48/weeks]] &lt;=2.5, $O$3, IF(TobComp[[#This Row],[Density * 48/weeks]] &lt;=40, $O$4, $O$5)))</f>
        <v>25</v>
      </c>
    </row>
    <row r="133" spans="1:12" x14ac:dyDescent="0.2">
      <c r="A133" s="24">
        <v>7</v>
      </c>
      <c r="B133" s="1"/>
      <c r="C133" s="1" t="s">
        <v>337</v>
      </c>
      <c r="D133" s="1">
        <v>877.7</v>
      </c>
      <c r="E133" s="61">
        <v>31</v>
      </c>
      <c r="F133" s="1">
        <f>TobComp[[#This Row],[Number of Retailers in County]]/TobComp[[#This Row],[County Land Mass (mi^2)]]</f>
        <v>3.5319585279708327E-2</v>
      </c>
      <c r="G133" s="2"/>
      <c r="H133" s="62">
        <f>TobComp[[#This Row],[Retail Density of County]]*48</f>
        <v>1.6953400934259997</v>
      </c>
      <c r="I133" s="1">
        <f>IF(TobComp[[#This Row],[Density * 48/weeks]] &lt;=0.5, 1, IF(TobComp[[#This Row],[Density * 48/weeks]] &lt;=2.5, 2, IF(TobComp[[#This Row],[Density * 48/weeks]] &lt;=40, 3, 4)))</f>
        <v>2</v>
      </c>
      <c r="J133" s="1">
        <f>IF(TobComp[[#This Row],[Density * 48/weeks]] &lt;=0.5, $O$2, IF(TobComp[[#This Row],[Density * 48/weeks]] &lt;=2.5, $O$3, IF(TobComp[[#This Row],[Density * 48/weeks]] &lt;=40, $O$4, $O$5)))</f>
        <v>25</v>
      </c>
    </row>
    <row r="134" spans="1:12" x14ac:dyDescent="0.2">
      <c r="A134" s="24">
        <v>8</v>
      </c>
      <c r="B134" s="1"/>
      <c r="C134" s="1" t="s">
        <v>338</v>
      </c>
      <c r="D134" s="1">
        <v>969.7</v>
      </c>
      <c r="E134" s="61">
        <v>34</v>
      </c>
      <c r="F134" s="1">
        <f>TobComp[[#This Row],[Number of Retailers in County]]/TobComp[[#This Row],[County Land Mass (mi^2)]]</f>
        <v>3.5062390430029906E-2</v>
      </c>
      <c r="G134" s="2"/>
      <c r="H134" s="62">
        <f>TobComp[[#This Row],[Retail Density of County]]*48</f>
        <v>1.6829947406414356</v>
      </c>
      <c r="I134" s="1">
        <f>IF(TobComp[[#This Row],[Density * 48/weeks]] &lt;=0.5, 1, IF(TobComp[[#This Row],[Density * 48/weeks]] &lt;=2.5, 2, IF(TobComp[[#This Row],[Density * 48/weeks]] &lt;=40, 3, 4)))</f>
        <v>2</v>
      </c>
      <c r="J134" s="1">
        <f>IF(TobComp[[#This Row],[Density * 48/weeks]] &lt;=0.5, $O$2, IF(TobComp[[#This Row],[Density * 48/weeks]] &lt;=2.5, $O$3, IF(TobComp[[#This Row],[Density * 48/weeks]] &lt;=40, $O$4, $O$5)))</f>
        <v>25</v>
      </c>
    </row>
    <row r="135" spans="1:12" x14ac:dyDescent="0.2">
      <c r="A135" s="24">
        <v>4</v>
      </c>
      <c r="B135" s="1"/>
      <c r="C135" s="1" t="s">
        <v>339</v>
      </c>
      <c r="D135" s="1">
        <v>256.8</v>
      </c>
      <c r="E135" s="61">
        <v>9</v>
      </c>
      <c r="F135" s="1">
        <f>TobComp[[#This Row],[Number of Retailers in County]]/TobComp[[#This Row],[County Land Mass (mi^2)]]</f>
        <v>3.5046728971962614E-2</v>
      </c>
      <c r="G135" s="2"/>
      <c r="H135" s="62">
        <f>TobComp[[#This Row],[Retail Density of County]]*48</f>
        <v>1.6822429906542054</v>
      </c>
      <c r="I135" s="1">
        <f>IF(TobComp[[#This Row],[Density * 48/weeks]] &lt;=0.5, 1, IF(TobComp[[#This Row],[Density * 48/weeks]] &lt;=2.5, 2, IF(TobComp[[#This Row],[Density * 48/weeks]] &lt;=40, 3, 4)))</f>
        <v>2</v>
      </c>
      <c r="J135" s="1">
        <f>IF(TobComp[[#This Row],[Density * 48/weeks]] &lt;=0.5, $O$2, IF(TobComp[[#This Row],[Density * 48/weeks]] &lt;=2.5, $O$3, IF(TobComp[[#This Row],[Density * 48/weeks]] &lt;=40, $O$4, $O$5)))</f>
        <v>25</v>
      </c>
    </row>
    <row r="136" spans="1:12" x14ac:dyDescent="0.2">
      <c r="A136" s="24">
        <v>5</v>
      </c>
      <c r="B136" s="1"/>
      <c r="C136" s="1" t="s">
        <v>340</v>
      </c>
      <c r="D136" s="1">
        <v>924.4</v>
      </c>
      <c r="E136" s="61">
        <v>32</v>
      </c>
      <c r="F136" s="1">
        <f>TobComp[[#This Row],[Number of Retailers in County]]/TobComp[[#This Row],[County Land Mass (mi^2)]]</f>
        <v>3.461704889658157E-2</v>
      </c>
      <c r="G136" s="2"/>
      <c r="H136" s="62">
        <f>TobComp[[#This Row],[Retail Density of County]]*48</f>
        <v>1.6616183470359154</v>
      </c>
      <c r="I136" s="1">
        <f>IF(TobComp[[#This Row],[Density * 48/weeks]] &lt;=0.5, 1, IF(TobComp[[#This Row],[Density * 48/weeks]] &lt;=2.5, 2, IF(TobComp[[#This Row],[Density * 48/weeks]] &lt;=40, 3, 4)))</f>
        <v>2</v>
      </c>
      <c r="J136" s="1">
        <f>IF(TobComp[[#This Row],[Density * 48/weeks]] &lt;=0.5, $O$2, IF(TobComp[[#This Row],[Density * 48/weeks]] &lt;=2.5, $O$3, IF(TobComp[[#This Row],[Density * 48/weeks]] &lt;=40, $O$4, $O$5)))</f>
        <v>25</v>
      </c>
    </row>
    <row r="137" spans="1:12" x14ac:dyDescent="0.2">
      <c r="A137" s="24">
        <v>2</v>
      </c>
      <c r="B137" s="1"/>
      <c r="C137" s="1" t="s">
        <v>341</v>
      </c>
      <c r="D137" s="1">
        <v>930.9</v>
      </c>
      <c r="E137" s="61">
        <v>32</v>
      </c>
      <c r="F137" s="1">
        <f>TobComp[[#This Row],[Number of Retailers in County]]/TobComp[[#This Row],[County Land Mass (mi^2)]]</f>
        <v>3.4375335696637664E-2</v>
      </c>
      <c r="G137" s="2"/>
      <c r="H137" s="62">
        <f>TobComp[[#This Row],[Retail Density of County]]*48</f>
        <v>1.6500161134386078</v>
      </c>
      <c r="I137" s="1">
        <f>IF(TobComp[[#This Row],[Density * 48/weeks]] &lt;=0.5, 1, IF(TobComp[[#This Row],[Density * 48/weeks]] &lt;=2.5, 2, IF(TobComp[[#This Row],[Density * 48/weeks]] &lt;=40, 3, 4)))</f>
        <v>2</v>
      </c>
      <c r="J137" s="1">
        <f>IF(TobComp[[#This Row],[Density * 48/weeks]] &lt;=0.5, $O$2, IF(TobComp[[#This Row],[Density * 48/weeks]] &lt;=2.5, $O$3, IF(TobComp[[#This Row],[Density * 48/weeks]] &lt;=40, $O$4, $O$5)))</f>
        <v>25</v>
      </c>
    </row>
    <row r="138" spans="1:12" x14ac:dyDescent="0.2">
      <c r="A138" s="24">
        <v>7</v>
      </c>
      <c r="B138" s="1"/>
      <c r="C138" s="1" t="s">
        <v>342</v>
      </c>
      <c r="D138" s="1">
        <v>765.5</v>
      </c>
      <c r="E138" s="61">
        <v>26</v>
      </c>
      <c r="F138" s="1">
        <f>TobComp[[#This Row],[Number of Retailers in County]]/TobComp[[#This Row],[County Land Mass (mi^2)]]</f>
        <v>3.3964728935336384E-2</v>
      </c>
      <c r="G138" s="2"/>
      <c r="H138" s="62">
        <f>TobComp[[#This Row],[Retail Density of County]]*48</f>
        <v>1.6303069888961463</v>
      </c>
      <c r="I138" s="1">
        <f>IF(TobComp[[#This Row],[Density * 48/weeks]] &lt;=0.5, 1, IF(TobComp[[#This Row],[Density * 48/weeks]] &lt;=2.5, 2, IF(TobComp[[#This Row],[Density * 48/weeks]] &lt;=40, 3, 4)))</f>
        <v>2</v>
      </c>
      <c r="J138" s="1">
        <f>IF(TobComp[[#This Row],[Density * 48/weeks]] &lt;=0.5, $O$2, IF(TobComp[[#This Row],[Density * 48/weeks]] &lt;=2.5, $O$3, IF(TobComp[[#This Row],[Density * 48/weeks]] &lt;=40, $O$4, $O$5)))</f>
        <v>25</v>
      </c>
    </row>
    <row r="139" spans="1:12" x14ac:dyDescent="0.2">
      <c r="A139" s="24">
        <v>5</v>
      </c>
      <c r="B139" s="1"/>
      <c r="C139" s="1" t="s">
        <v>343</v>
      </c>
      <c r="D139" s="1">
        <v>530.70000000000005</v>
      </c>
      <c r="E139" s="61">
        <v>18</v>
      </c>
      <c r="F139" s="1">
        <f>TobComp[[#This Row],[Number of Retailers in County]]/TobComp[[#This Row],[County Land Mass (mi^2)]]</f>
        <v>3.3917467495760314E-2</v>
      </c>
      <c r="G139" s="2"/>
      <c r="H139" s="62">
        <f>TobComp[[#This Row],[Retail Density of County]]*48</f>
        <v>1.6280384397964951</v>
      </c>
      <c r="I139" s="1">
        <f>IF(TobComp[[#This Row],[Density * 48/weeks]] &lt;=0.5, 1, IF(TobComp[[#This Row],[Density * 48/weeks]] &lt;=2.5, 2, IF(TobComp[[#This Row],[Density * 48/weeks]] &lt;=40, 3, 4)))</f>
        <v>2</v>
      </c>
      <c r="J139" s="1">
        <f>IF(TobComp[[#This Row],[Density * 48/weeks]] &lt;=0.5, $O$2, IF(TobComp[[#This Row],[Density * 48/weeks]] &lt;=2.5, $O$3, IF(TobComp[[#This Row],[Density * 48/weeks]] &lt;=40, $O$4, $O$5)))</f>
        <v>25</v>
      </c>
    </row>
    <row r="140" spans="1:12" x14ac:dyDescent="0.2">
      <c r="A140" s="24">
        <v>1</v>
      </c>
      <c r="B140" s="1"/>
      <c r="C140" s="1" t="s">
        <v>344</v>
      </c>
      <c r="D140" s="1">
        <v>908.4</v>
      </c>
      <c r="E140" s="61">
        <v>30</v>
      </c>
      <c r="F140" s="1">
        <f>TobComp[[#This Row],[Number of Retailers in County]]/TobComp[[#This Row],[County Land Mass (mi^2)]]</f>
        <v>3.3025099075297229E-2</v>
      </c>
      <c r="G140" s="2"/>
      <c r="H140" s="62">
        <f>TobComp[[#This Row],[Retail Density of County]]*48</f>
        <v>1.585204755614267</v>
      </c>
      <c r="I140" s="1">
        <f>IF(TobComp[[#This Row],[Density * 48/weeks]] &lt;=0.5, 1, IF(TobComp[[#This Row],[Density * 48/weeks]] &lt;=2.5, 2, IF(TobComp[[#This Row],[Density * 48/weeks]] &lt;=40, 3, 4)))</f>
        <v>2</v>
      </c>
      <c r="J140" s="1">
        <f>IF(TobComp[[#This Row],[Density * 48/weeks]] &lt;=0.5, $O$2, IF(TobComp[[#This Row],[Density * 48/weeks]] &lt;=2.5, $O$3, IF(TobComp[[#This Row],[Density * 48/weeks]] &lt;=40, $O$4, $O$5)))</f>
        <v>25</v>
      </c>
    </row>
    <row r="141" spans="1:12" x14ac:dyDescent="0.2">
      <c r="A141" s="24">
        <v>8</v>
      </c>
      <c r="B141" s="1"/>
      <c r="C141" s="1" t="s">
        <v>345</v>
      </c>
      <c r="D141" s="1">
        <v>909</v>
      </c>
      <c r="E141" s="61">
        <v>30</v>
      </c>
      <c r="F141" s="1">
        <f>TobComp[[#This Row],[Number of Retailers in County]]/TobComp[[#This Row],[County Land Mass (mi^2)]]</f>
        <v>3.3003300330033E-2</v>
      </c>
      <c r="G141" s="2"/>
      <c r="H141" s="62">
        <f>TobComp[[#This Row],[Retail Density of County]]*48</f>
        <v>1.584158415841584</v>
      </c>
      <c r="I141" s="1">
        <f>IF(TobComp[[#This Row],[Density * 48/weeks]] &lt;=0.5, 1, IF(TobComp[[#This Row],[Density * 48/weeks]] &lt;=2.5, 2, IF(TobComp[[#This Row],[Density * 48/weeks]] &lt;=40, 3, 4)))</f>
        <v>2</v>
      </c>
      <c r="J141" s="1">
        <f>IF(TobComp[[#This Row],[Density * 48/weeks]] &lt;=0.5, $O$2, IF(TobComp[[#This Row],[Density * 48/weeks]] &lt;=2.5, $O$3, IF(TobComp[[#This Row],[Density * 48/weeks]] &lt;=40, $O$4, $O$5)))</f>
        <v>25</v>
      </c>
    </row>
    <row r="142" spans="1:12" x14ac:dyDescent="0.2">
      <c r="A142" s="24">
        <v>2</v>
      </c>
      <c r="B142" s="1"/>
      <c r="C142" s="1" t="s">
        <v>346</v>
      </c>
      <c r="D142" s="1">
        <v>905.4</v>
      </c>
      <c r="E142" s="61">
        <v>29</v>
      </c>
      <c r="F142" s="1">
        <f>TobComp[[#This Row],[Number of Retailers in County]]/TobComp[[#This Row],[County Land Mass (mi^2)]]</f>
        <v>3.2030041970399825E-2</v>
      </c>
      <c r="G142" s="2"/>
      <c r="H142" s="62">
        <f>TobComp[[#This Row],[Retail Density of County]]*48</f>
        <v>1.5374420145791916</v>
      </c>
      <c r="I142" s="1">
        <f>IF(TobComp[[#This Row],[Density * 48/weeks]] &lt;=0.5, 1, IF(TobComp[[#This Row],[Density * 48/weeks]] &lt;=2.5, 2, IF(TobComp[[#This Row],[Density * 48/weeks]] &lt;=40, 3, 4)))</f>
        <v>2</v>
      </c>
      <c r="J142" s="1">
        <f>IF(TobComp[[#This Row],[Density * 48/weeks]] &lt;=0.5, $O$2, IF(TobComp[[#This Row],[Density * 48/weeks]] &lt;=2.5, $O$3, IF(TobComp[[#This Row],[Density * 48/weeks]] &lt;=40, $O$4, $O$5)))</f>
        <v>25</v>
      </c>
    </row>
    <row r="143" spans="1:12" x14ac:dyDescent="0.2">
      <c r="A143" s="24">
        <v>8</v>
      </c>
      <c r="B143" s="1"/>
      <c r="C143" s="1" t="s">
        <v>347</v>
      </c>
      <c r="D143" s="1">
        <v>829.4</v>
      </c>
      <c r="E143" s="61">
        <v>26</v>
      </c>
      <c r="F143" s="1">
        <f>TobComp[[#This Row],[Number of Retailers in County]]/TobComp[[#This Row],[County Land Mass (mi^2)]]</f>
        <v>3.1347962382445145E-2</v>
      </c>
      <c r="G143" s="2"/>
      <c r="H143" s="62">
        <f>TobComp[[#This Row],[Retail Density of County]]*48</f>
        <v>1.5047021943573671</v>
      </c>
      <c r="I143" s="1">
        <f>IF(TobComp[[#This Row],[Density * 48/weeks]] &lt;=0.5, 1, IF(TobComp[[#This Row],[Density * 48/weeks]] &lt;=2.5, 2, IF(TobComp[[#This Row],[Density * 48/weeks]] &lt;=40, 3, 4)))</f>
        <v>2</v>
      </c>
      <c r="J143" s="1">
        <f>IF(TobComp[[#This Row],[Density * 48/weeks]] &lt;=0.5, $O$2, IF(TobComp[[#This Row],[Density * 48/weeks]] &lt;=2.5, $O$3, IF(TobComp[[#This Row],[Density * 48/weeks]] &lt;=40, $O$4, $O$5)))</f>
        <v>25</v>
      </c>
    </row>
    <row r="144" spans="1:12" x14ac:dyDescent="0.2">
      <c r="A144" s="24">
        <v>9</v>
      </c>
      <c r="B144" s="1"/>
      <c r="C144" s="1" t="s">
        <v>348</v>
      </c>
      <c r="D144" s="1">
        <v>835.6</v>
      </c>
      <c r="E144" s="61">
        <v>26</v>
      </c>
      <c r="F144" s="1">
        <f>TobComp[[#This Row],[Number of Retailers in County]]/TobComp[[#This Row],[County Land Mass (mi^2)]]</f>
        <v>3.1115366203925323E-2</v>
      </c>
      <c r="G144" s="2"/>
      <c r="H144" s="62">
        <f>TobComp[[#This Row],[Retail Density of County]]*48</f>
        <v>1.4935375777884154</v>
      </c>
      <c r="I144" s="1">
        <f>IF(TobComp[[#This Row],[Density * 48/weeks]] &lt;=0.5, 1, IF(TobComp[[#This Row],[Density * 48/weeks]] &lt;=2.5, 2, IF(TobComp[[#This Row],[Density * 48/weeks]] &lt;=40, 3, 4)))</f>
        <v>2</v>
      </c>
      <c r="J144" s="1">
        <f>IF(TobComp[[#This Row],[Density * 48/weeks]] &lt;=0.5, $O$2, IF(TobComp[[#This Row],[Density * 48/weeks]] &lt;=2.5, $O$3, IF(TobComp[[#This Row],[Density * 48/weeks]] &lt;=40, $O$4, $O$5)))</f>
        <v>25</v>
      </c>
    </row>
    <row r="145" spans="1:10" x14ac:dyDescent="0.2">
      <c r="A145" s="24">
        <v>7</v>
      </c>
      <c r="B145" s="1"/>
      <c r="C145" s="1" t="s">
        <v>349</v>
      </c>
      <c r="D145" s="1">
        <v>709.3</v>
      </c>
      <c r="E145" s="61">
        <v>22</v>
      </c>
      <c r="F145" s="1">
        <f>TobComp[[#This Row],[Number of Retailers in County]]/TobComp[[#This Row],[County Land Mass (mi^2)]]</f>
        <v>3.1016495136049628E-2</v>
      </c>
      <c r="G145" s="2"/>
      <c r="H145" s="62">
        <f>TobComp[[#This Row],[Retail Density of County]]*48</f>
        <v>1.4887917665303823</v>
      </c>
      <c r="I145" s="1">
        <f>IF(TobComp[[#This Row],[Density * 48/weeks]] &lt;=0.5, 1, IF(TobComp[[#This Row],[Density * 48/weeks]] &lt;=2.5, 2, IF(TobComp[[#This Row],[Density * 48/weeks]] &lt;=40, 3, 4)))</f>
        <v>2</v>
      </c>
      <c r="J145" s="1">
        <f>IF(TobComp[[#This Row],[Density * 48/weeks]] &lt;=0.5, $O$2, IF(TobComp[[#This Row],[Density * 48/weeks]] &lt;=2.5, $O$3, IF(TobComp[[#This Row],[Density * 48/weeks]] &lt;=40, $O$4, $O$5)))</f>
        <v>25</v>
      </c>
    </row>
    <row r="146" spans="1:10" x14ac:dyDescent="0.2">
      <c r="A146" s="24">
        <v>5</v>
      </c>
      <c r="B146" s="1"/>
      <c r="C146" s="1" t="s">
        <v>350</v>
      </c>
      <c r="D146" s="1">
        <v>1231</v>
      </c>
      <c r="E146" s="61">
        <v>38</v>
      </c>
      <c r="F146" s="1">
        <f>TobComp[[#This Row],[Number of Retailers in County]]/TobComp[[#This Row],[County Land Mass (mi^2)]]</f>
        <v>3.0869212022745736E-2</v>
      </c>
      <c r="G146" s="2"/>
      <c r="H146" s="62">
        <f>TobComp[[#This Row],[Retail Density of County]]*48</f>
        <v>1.4817221770917954</v>
      </c>
      <c r="I146" s="1">
        <f>IF(TobComp[[#This Row],[Density * 48/weeks]] &lt;=0.5, 1, IF(TobComp[[#This Row],[Density * 48/weeks]] &lt;=2.5, 2, IF(TobComp[[#This Row],[Density * 48/weeks]] &lt;=40, 3, 4)))</f>
        <v>2</v>
      </c>
      <c r="J146" s="1">
        <f>IF(TobComp[[#This Row],[Density * 48/weeks]] &lt;=0.5, $O$2, IF(TobComp[[#This Row],[Density * 48/weeks]] &lt;=2.5, $O$3, IF(TobComp[[#This Row],[Density * 48/weeks]] &lt;=40, $O$4, $O$5)))</f>
        <v>25</v>
      </c>
    </row>
    <row r="147" spans="1:10" x14ac:dyDescent="0.2">
      <c r="A147" s="24">
        <v>2</v>
      </c>
      <c r="B147" s="1"/>
      <c r="C147" s="1" t="s">
        <v>351</v>
      </c>
      <c r="D147" s="1">
        <v>914.5</v>
      </c>
      <c r="E147" s="61">
        <v>28</v>
      </c>
      <c r="F147" s="1">
        <f>TobComp[[#This Row],[Number of Retailers in County]]/TobComp[[#This Row],[County Land Mass (mi^2)]]</f>
        <v>3.06178239475123E-2</v>
      </c>
      <c r="G147" s="2"/>
      <c r="H147" s="62">
        <f>TobComp[[#This Row],[Retail Density of County]]*48</f>
        <v>1.4696555494805903</v>
      </c>
      <c r="I147" s="1">
        <f>IF(TobComp[[#This Row],[Density * 48/weeks]] &lt;=0.5, 1, IF(TobComp[[#This Row],[Density * 48/weeks]] &lt;=2.5, 2, IF(TobComp[[#This Row],[Density * 48/weeks]] &lt;=40, 3, 4)))</f>
        <v>2</v>
      </c>
      <c r="J147" s="1">
        <f>IF(TobComp[[#This Row],[Density * 48/weeks]] &lt;=0.5, $O$2, IF(TobComp[[#This Row],[Density * 48/weeks]] &lt;=2.5, $O$3, IF(TobComp[[#This Row],[Density * 48/weeks]] &lt;=40, $O$4, $O$5)))</f>
        <v>25</v>
      </c>
    </row>
    <row r="148" spans="1:10" x14ac:dyDescent="0.2">
      <c r="A148" s="24">
        <v>2</v>
      </c>
      <c r="B148" s="1"/>
      <c r="C148" s="1" t="s">
        <v>352</v>
      </c>
      <c r="D148" s="1">
        <v>899.4</v>
      </c>
      <c r="E148" s="61">
        <v>27</v>
      </c>
      <c r="F148" s="1">
        <f>TobComp[[#This Row],[Number of Retailers in County]]/TobComp[[#This Row],[County Land Mass (mi^2)]]</f>
        <v>3.0020013342228154E-2</v>
      </c>
      <c r="G148" s="2"/>
      <c r="H148" s="62">
        <f>TobComp[[#This Row],[Retail Density of County]]*48</f>
        <v>1.4409606404269515</v>
      </c>
      <c r="I148" s="1">
        <f>IF(TobComp[[#This Row],[Density * 48/weeks]] &lt;=0.5, 1, IF(TobComp[[#This Row],[Density * 48/weeks]] &lt;=2.5, 2, IF(TobComp[[#This Row],[Density * 48/weeks]] &lt;=40, 3, 4)))</f>
        <v>2</v>
      </c>
      <c r="J148" s="1">
        <f>IF(TobComp[[#This Row],[Density * 48/weeks]] &lt;=0.5, $O$2, IF(TobComp[[#This Row],[Density * 48/weeks]] &lt;=2.5, $O$3, IF(TobComp[[#This Row],[Density * 48/weeks]] &lt;=40, $O$4, $O$5)))</f>
        <v>25</v>
      </c>
    </row>
    <row r="149" spans="1:10" x14ac:dyDescent="0.2">
      <c r="A149" s="24">
        <v>8</v>
      </c>
      <c r="B149" s="1"/>
      <c r="C149" s="1" t="s">
        <v>353</v>
      </c>
      <c r="D149" s="1">
        <v>1066.7</v>
      </c>
      <c r="E149" s="61">
        <v>32</v>
      </c>
      <c r="F149" s="1">
        <f>TobComp[[#This Row],[Number of Retailers in County]]/TobComp[[#This Row],[County Land Mass (mi^2)]]</f>
        <v>2.9999062529295958E-2</v>
      </c>
      <c r="G149" s="2"/>
      <c r="H149" s="62">
        <f>TobComp[[#This Row],[Retail Density of County]]*48</f>
        <v>1.4399550014062059</v>
      </c>
      <c r="I149" s="1">
        <f>IF(TobComp[[#This Row],[Density * 48/weeks]] &lt;=0.5, 1, IF(TobComp[[#This Row],[Density * 48/weeks]] &lt;=2.5, 2, IF(TobComp[[#This Row],[Density * 48/weeks]] &lt;=40, 3, 4)))</f>
        <v>2</v>
      </c>
      <c r="J149" s="1">
        <f>IF(TobComp[[#This Row],[Density * 48/weeks]] &lt;=0.5, $O$2, IF(TobComp[[#This Row],[Density * 48/weeks]] &lt;=2.5, $O$3, IF(TobComp[[#This Row],[Density * 48/weeks]] &lt;=40, $O$4, $O$5)))</f>
        <v>25</v>
      </c>
    </row>
    <row r="150" spans="1:10" x14ac:dyDescent="0.2">
      <c r="A150" s="24">
        <v>11</v>
      </c>
      <c r="B150" s="1"/>
      <c r="C150" s="1" t="s">
        <v>354</v>
      </c>
      <c r="D150" s="1">
        <v>998.4</v>
      </c>
      <c r="E150" s="61">
        <v>29</v>
      </c>
      <c r="F150" s="1">
        <f>TobComp[[#This Row],[Number of Retailers in County]]/TobComp[[#This Row],[County Land Mass (mi^2)]]</f>
        <v>2.904647435897436E-2</v>
      </c>
      <c r="G150" s="2"/>
      <c r="H150" s="62">
        <f>TobComp[[#This Row],[Retail Density of County]]*48</f>
        <v>1.3942307692307692</v>
      </c>
      <c r="I150" s="1">
        <f>IF(TobComp[[#This Row],[Density * 48/weeks]] &lt;=0.5, 1, IF(TobComp[[#This Row],[Density * 48/weeks]] &lt;=2.5, 2, IF(TobComp[[#This Row],[Density * 48/weeks]] &lt;=40, 3, 4)))</f>
        <v>2</v>
      </c>
      <c r="J150" s="1">
        <f>IF(TobComp[[#This Row],[Density * 48/weeks]] &lt;=0.5, $O$2, IF(TobComp[[#This Row],[Density * 48/weeks]] &lt;=2.5, $O$3, IF(TobComp[[#This Row],[Density * 48/weeks]] &lt;=40, $O$4, $O$5)))</f>
        <v>25</v>
      </c>
    </row>
    <row r="151" spans="1:10" x14ac:dyDescent="0.2">
      <c r="A151" s="24">
        <v>5</v>
      </c>
      <c r="B151" s="1"/>
      <c r="C151" s="1" t="s">
        <v>355</v>
      </c>
      <c r="D151" s="1">
        <v>933.7</v>
      </c>
      <c r="E151" s="61">
        <v>26</v>
      </c>
      <c r="F151" s="1">
        <f>TobComp[[#This Row],[Number of Retailers in County]]/TobComp[[#This Row],[County Land Mass (mi^2)]]</f>
        <v>2.7846203277283921E-2</v>
      </c>
      <c r="G151" s="2"/>
      <c r="H151" s="62">
        <f>TobComp[[#This Row],[Retail Density of County]]*48</f>
        <v>1.3366177573096283</v>
      </c>
      <c r="I151" s="1">
        <f>IF(TobComp[[#This Row],[Density * 48/weeks]] &lt;=0.5, 1, IF(TobComp[[#This Row],[Density * 48/weeks]] &lt;=2.5, 2, IF(TobComp[[#This Row],[Density * 48/weeks]] &lt;=40, 3, 4)))</f>
        <v>2</v>
      </c>
      <c r="J151" s="1">
        <f>IF(TobComp[[#This Row],[Density * 48/weeks]] &lt;=0.5, $O$2, IF(TobComp[[#This Row],[Density * 48/weeks]] &lt;=2.5, $O$3, IF(TobComp[[#This Row],[Density * 48/weeks]] &lt;=40, $O$4, $O$5)))</f>
        <v>25</v>
      </c>
    </row>
    <row r="152" spans="1:10" x14ac:dyDescent="0.2">
      <c r="A152" s="24">
        <v>8</v>
      </c>
      <c r="B152" s="1"/>
      <c r="C152" s="1" t="s">
        <v>356</v>
      </c>
      <c r="D152" s="1">
        <v>1133.5</v>
      </c>
      <c r="E152" s="61">
        <v>30</v>
      </c>
      <c r="F152" s="1">
        <f>TobComp[[#This Row],[Number of Retailers in County]]/TobComp[[#This Row],[County Land Mass (mi^2)]]</f>
        <v>2.646669607410675E-2</v>
      </c>
      <c r="G152" s="2"/>
      <c r="H152" s="62">
        <f>TobComp[[#This Row],[Retail Density of County]]*48</f>
        <v>1.270401411557124</v>
      </c>
      <c r="I152" s="1">
        <f>IF(TobComp[[#This Row],[Density * 48/weeks]] &lt;=0.5, 1, IF(TobComp[[#This Row],[Density * 48/weeks]] &lt;=2.5, 2, IF(TobComp[[#This Row],[Density * 48/weeks]] &lt;=40, 3, 4)))</f>
        <v>2</v>
      </c>
      <c r="J152" s="1">
        <f>IF(TobComp[[#This Row],[Density * 48/weeks]] &lt;=0.5, $O$2, IF(TobComp[[#This Row],[Density * 48/weeks]] &lt;=2.5, $O$3, IF(TobComp[[#This Row],[Density * 48/weeks]] &lt;=40, $O$4, $O$5)))</f>
        <v>25</v>
      </c>
    </row>
    <row r="153" spans="1:10" x14ac:dyDescent="0.2">
      <c r="A153" s="24">
        <v>2</v>
      </c>
      <c r="B153" s="1"/>
      <c r="C153" s="1" t="s">
        <v>357</v>
      </c>
      <c r="D153" s="1">
        <v>928.6</v>
      </c>
      <c r="E153" s="61">
        <v>24</v>
      </c>
      <c r="F153" s="1">
        <f>TobComp[[#This Row],[Number of Retailers in County]]/TobComp[[#This Row],[County Land Mass (mi^2)]]</f>
        <v>2.5845358604350634E-2</v>
      </c>
      <c r="G153" s="2"/>
      <c r="H153" s="62">
        <f>TobComp[[#This Row],[Retail Density of County]]*48</f>
        <v>1.2405772130088304</v>
      </c>
      <c r="I153" s="1">
        <f>IF(TobComp[[#This Row],[Density * 48/weeks]] &lt;=0.5, 1, IF(TobComp[[#This Row],[Density * 48/weeks]] &lt;=2.5, 2, IF(TobComp[[#This Row],[Density * 48/weeks]] &lt;=40, 3, 4)))</f>
        <v>2</v>
      </c>
      <c r="J153" s="1">
        <f>IF(TobComp[[#This Row],[Density * 48/weeks]] &lt;=0.5, $O$2, IF(TobComp[[#This Row],[Density * 48/weeks]] &lt;=2.5, $O$3, IF(TobComp[[#This Row],[Density * 48/weeks]] &lt;=40, $O$4, $O$5)))</f>
        <v>25</v>
      </c>
    </row>
    <row r="154" spans="1:10" x14ac:dyDescent="0.2">
      <c r="A154" s="24">
        <v>2</v>
      </c>
      <c r="B154" s="1"/>
      <c r="C154" s="1" t="s">
        <v>358</v>
      </c>
      <c r="D154" s="1">
        <v>896.7</v>
      </c>
      <c r="E154" s="61">
        <v>23</v>
      </c>
      <c r="F154" s="1">
        <f>TobComp[[#This Row],[Number of Retailers in County]]/TobComp[[#This Row],[County Land Mass (mi^2)]]</f>
        <v>2.5649604103936654E-2</v>
      </c>
      <c r="G154" s="2"/>
      <c r="H154" s="62">
        <f>TobComp[[#This Row],[Retail Density of County]]*48</f>
        <v>1.2311809969889593</v>
      </c>
      <c r="I154" s="1">
        <f>IF(TobComp[[#This Row],[Density * 48/weeks]] &lt;=0.5, 1, IF(TobComp[[#This Row],[Density * 48/weeks]] &lt;=2.5, 2, IF(TobComp[[#This Row],[Density * 48/weeks]] &lt;=40, 3, 4)))</f>
        <v>2</v>
      </c>
      <c r="J154" s="1">
        <f>IF(TobComp[[#This Row],[Density * 48/weeks]] &lt;=0.5, $O$2, IF(TobComp[[#This Row],[Density * 48/weeks]] &lt;=2.5, $O$3, IF(TobComp[[#This Row],[Density * 48/weeks]] &lt;=40, $O$4, $O$5)))</f>
        <v>25</v>
      </c>
    </row>
    <row r="155" spans="1:10" x14ac:dyDescent="0.2">
      <c r="A155" s="24">
        <v>7</v>
      </c>
      <c r="B155" s="1"/>
      <c r="C155" s="1" t="s">
        <v>359</v>
      </c>
      <c r="D155" s="1">
        <v>835.9</v>
      </c>
      <c r="E155" s="61">
        <v>21</v>
      </c>
      <c r="F155" s="1">
        <f>TobComp[[#This Row],[Number of Retailers in County]]/TobComp[[#This Row],[County Land Mass (mi^2)]]</f>
        <v>2.5122622323244408E-2</v>
      </c>
      <c r="G155" s="2"/>
      <c r="H155" s="62">
        <f>TobComp[[#This Row],[Retail Density of County]]*48</f>
        <v>1.2058858715157315</v>
      </c>
      <c r="I155" s="1">
        <f>IF(TobComp[[#This Row],[Density * 48/weeks]] &lt;=0.5, 1, IF(TobComp[[#This Row],[Density * 48/weeks]] &lt;=2.5, 2, IF(TobComp[[#This Row],[Density * 48/weeks]] &lt;=40, 3, 4)))</f>
        <v>2</v>
      </c>
      <c r="J155" s="1">
        <f>IF(TobComp[[#This Row],[Density * 48/weeks]] &lt;=0.5, $O$2, IF(TobComp[[#This Row],[Density * 48/weeks]] &lt;=2.5, $O$3, IF(TobComp[[#This Row],[Density * 48/weeks]] &lt;=40, $O$4, $O$5)))</f>
        <v>25</v>
      </c>
    </row>
    <row r="156" spans="1:10" x14ac:dyDescent="0.2">
      <c r="A156" s="24">
        <v>11</v>
      </c>
      <c r="B156" s="1"/>
      <c r="C156" s="1" t="s">
        <v>360</v>
      </c>
      <c r="D156" s="1">
        <v>770.5</v>
      </c>
      <c r="E156" s="61">
        <v>18</v>
      </c>
      <c r="F156" s="1">
        <f>TobComp[[#This Row],[Number of Retailers in County]]/TobComp[[#This Row],[County Land Mass (mi^2)]]</f>
        <v>2.336145360155743E-2</v>
      </c>
      <c r="G156" s="2"/>
      <c r="H156" s="62">
        <f>TobComp[[#This Row],[Retail Density of County]]*48</f>
        <v>1.1213497728747566</v>
      </c>
      <c r="I156" s="1">
        <f>IF(TobComp[[#This Row],[Density * 48/weeks]] &lt;=0.5, 1, IF(TobComp[[#This Row],[Density * 48/weeks]] &lt;=2.5, 2, IF(TobComp[[#This Row],[Density * 48/weeks]] &lt;=40, 3, 4)))</f>
        <v>2</v>
      </c>
      <c r="J156" s="1">
        <f>IF(TobComp[[#This Row],[Density * 48/weeks]] &lt;=0.5, $O$2, IF(TobComp[[#This Row],[Density * 48/weeks]] &lt;=2.5, $O$3, IF(TobComp[[#This Row],[Density * 48/weeks]] &lt;=40, $O$4, $O$5)))</f>
        <v>25</v>
      </c>
    </row>
    <row r="157" spans="1:10" x14ac:dyDescent="0.2">
      <c r="A157" s="24">
        <v>2</v>
      </c>
      <c r="B157" s="1"/>
      <c r="C157" s="1" t="s">
        <v>361</v>
      </c>
      <c r="D157" s="1">
        <v>937.8</v>
      </c>
      <c r="E157" s="61">
        <v>21</v>
      </c>
      <c r="F157" s="1">
        <f>TobComp[[#This Row],[Number of Retailers in County]]/TobComp[[#This Row],[County Land Mass (mi^2)]]</f>
        <v>2.2392834293026232E-2</v>
      </c>
      <c r="G157" s="2"/>
      <c r="H157" s="62">
        <f>TobComp[[#This Row],[Retail Density of County]]*48</f>
        <v>1.0748560460652592</v>
      </c>
      <c r="I157" s="1">
        <f>IF(TobComp[[#This Row],[Density * 48/weeks]] &lt;=0.5, 1, IF(TobComp[[#This Row],[Density * 48/weeks]] &lt;=2.5, 2, IF(TobComp[[#This Row],[Density * 48/weeks]] &lt;=40, 3, 4)))</f>
        <v>2</v>
      </c>
      <c r="J157" s="1">
        <f>IF(TobComp[[#This Row],[Density * 48/weeks]] &lt;=0.5, $O$2, IF(TobComp[[#This Row],[Density * 48/weeks]] &lt;=2.5, $O$3, IF(TobComp[[#This Row],[Density * 48/weeks]] &lt;=40, $O$4, $O$5)))</f>
        <v>25</v>
      </c>
    </row>
    <row r="158" spans="1:10" x14ac:dyDescent="0.2">
      <c r="A158" s="24">
        <v>11</v>
      </c>
      <c r="B158" s="1"/>
      <c r="C158" s="1" t="s">
        <v>362</v>
      </c>
      <c r="D158" s="1">
        <v>1039.7</v>
      </c>
      <c r="E158" s="61">
        <v>23</v>
      </c>
      <c r="F158" s="1">
        <f>TobComp[[#This Row],[Number of Retailers in County]]/TobComp[[#This Row],[County Land Mass (mi^2)]]</f>
        <v>2.2121765894007887E-2</v>
      </c>
      <c r="G158" s="2"/>
      <c r="H158" s="62">
        <f>TobComp[[#This Row],[Retail Density of County]]*48</f>
        <v>1.0618447629123786</v>
      </c>
      <c r="I158" s="1">
        <f>IF(TobComp[[#This Row],[Density * 48/weeks]] &lt;=0.5, 1, IF(TobComp[[#This Row],[Density * 48/weeks]] &lt;=2.5, 2, IF(TobComp[[#This Row],[Density * 48/weeks]] &lt;=40, 3, 4)))</f>
        <v>2</v>
      </c>
      <c r="J158" s="1">
        <f>IF(TobComp[[#This Row],[Density * 48/weeks]] &lt;=0.5, $O$2, IF(TobComp[[#This Row],[Density * 48/weeks]] &lt;=2.5, $O$3, IF(TobComp[[#This Row],[Density * 48/weeks]] &lt;=40, $O$4, $O$5)))</f>
        <v>25</v>
      </c>
    </row>
    <row r="159" spans="1:10" x14ac:dyDescent="0.2">
      <c r="A159" s="24">
        <v>9</v>
      </c>
      <c r="B159" s="1"/>
      <c r="C159" s="1" t="s">
        <v>363</v>
      </c>
      <c r="D159" s="1">
        <v>841.3</v>
      </c>
      <c r="E159" s="61">
        <v>18</v>
      </c>
      <c r="F159" s="1">
        <f>TobComp[[#This Row],[Number of Retailers in County]]/TobComp[[#This Row],[County Land Mass (mi^2)]]</f>
        <v>2.1395459408058957E-2</v>
      </c>
      <c r="G159" s="2"/>
      <c r="H159" s="62">
        <f>TobComp[[#This Row],[Retail Density of County]]*48</f>
        <v>1.02698205158683</v>
      </c>
      <c r="I159" s="1">
        <f>IF(TobComp[[#This Row],[Density * 48/weeks]] &lt;=0.5, 1, IF(TobComp[[#This Row],[Density * 48/weeks]] &lt;=2.5, 2, IF(TobComp[[#This Row],[Density * 48/weeks]] &lt;=40, 3, 4)))</f>
        <v>2</v>
      </c>
      <c r="J159" s="1">
        <f>IF(TobComp[[#This Row],[Density * 48/weeks]] &lt;=0.5, $O$2, IF(TobComp[[#This Row],[Density * 48/weeks]] &lt;=2.5, $O$3, IF(TobComp[[#This Row],[Density * 48/weeks]] &lt;=40, $O$4, $O$5)))</f>
        <v>25</v>
      </c>
    </row>
    <row r="160" spans="1:10" x14ac:dyDescent="0.2">
      <c r="A160" s="24">
        <v>2</v>
      </c>
      <c r="B160" s="1"/>
      <c r="C160" s="1" t="s">
        <v>364</v>
      </c>
      <c r="D160" s="1">
        <v>1051.0999999999999</v>
      </c>
      <c r="E160" s="61">
        <v>22</v>
      </c>
      <c r="F160" s="1">
        <f>TobComp[[#This Row],[Number of Retailers in County]]/TobComp[[#This Row],[County Land Mass (mi^2)]]</f>
        <v>2.0930453810293979E-2</v>
      </c>
      <c r="G160" s="2"/>
      <c r="H160" s="62">
        <f>TobComp[[#This Row],[Retail Density of County]]*48</f>
        <v>1.0046617828941109</v>
      </c>
      <c r="I160" s="1">
        <f>IF(TobComp[[#This Row],[Density * 48/weeks]] &lt;=0.5, 1, IF(TobComp[[#This Row],[Density * 48/weeks]] &lt;=2.5, 2, IF(TobComp[[#This Row],[Density * 48/weeks]] &lt;=40, 3, 4)))</f>
        <v>2</v>
      </c>
      <c r="J160" s="1">
        <f>IF(TobComp[[#This Row],[Density * 48/weeks]] &lt;=0.5, $O$2, IF(TobComp[[#This Row],[Density * 48/weeks]] &lt;=2.5, $O$3, IF(TobComp[[#This Row],[Density * 48/weeks]] &lt;=40, $O$4, $O$5)))</f>
        <v>25</v>
      </c>
    </row>
    <row r="161" spans="1:10" x14ac:dyDescent="0.2">
      <c r="A161" s="24">
        <v>4</v>
      </c>
      <c r="B161" s="1"/>
      <c r="C161" s="1" t="s">
        <v>365</v>
      </c>
      <c r="D161" s="1">
        <v>1043.9000000000001</v>
      </c>
      <c r="E161" s="61">
        <v>21</v>
      </c>
      <c r="F161" s="1">
        <f>TobComp[[#This Row],[Number of Retailers in County]]/TobComp[[#This Row],[County Land Mass (mi^2)]]</f>
        <v>2.0116869431937922E-2</v>
      </c>
      <c r="G161" s="2"/>
      <c r="H161" s="62">
        <f>TobComp[[#This Row],[Retail Density of County]]*48</f>
        <v>0.9656097327330202</v>
      </c>
      <c r="I161" s="1">
        <f>IF(TobComp[[#This Row],[Density * 48/weeks]] &lt;=0.5, 1, IF(TobComp[[#This Row],[Density * 48/weeks]] &lt;=2.5, 2, IF(TobComp[[#This Row],[Density * 48/weeks]] &lt;=40, 3, 4)))</f>
        <v>2</v>
      </c>
      <c r="J161" s="1">
        <f>IF(TobComp[[#This Row],[Density * 48/weeks]] &lt;=0.5, $O$2, IF(TobComp[[#This Row],[Density * 48/weeks]] &lt;=2.5, $O$3, IF(TobComp[[#This Row],[Density * 48/weeks]] &lt;=40, $O$4, $O$5)))</f>
        <v>25</v>
      </c>
    </row>
    <row r="162" spans="1:10" x14ac:dyDescent="0.2">
      <c r="A162" s="24">
        <v>8</v>
      </c>
      <c r="B162" s="1"/>
      <c r="C162" s="1" t="s">
        <v>366</v>
      </c>
      <c r="D162" s="1">
        <v>699.2</v>
      </c>
      <c r="E162" s="61">
        <v>14</v>
      </c>
      <c r="F162" s="1">
        <f>TobComp[[#This Row],[Number of Retailers in County]]/TobComp[[#This Row],[County Land Mass (mi^2)]]</f>
        <v>2.0022883295194506E-2</v>
      </c>
      <c r="G162" s="2"/>
      <c r="H162" s="62">
        <f>TobComp[[#This Row],[Retail Density of County]]*48</f>
        <v>0.96109839816933629</v>
      </c>
      <c r="I162" s="1">
        <f>IF(TobComp[[#This Row],[Density * 48/weeks]] &lt;=0.5, 1, IF(TobComp[[#This Row],[Density * 48/weeks]] &lt;=2.5, 2, IF(TobComp[[#This Row],[Density * 48/weeks]] &lt;=40, 3, 4)))</f>
        <v>2</v>
      </c>
      <c r="J162" s="1">
        <f>IF(TobComp[[#This Row],[Density * 48/weeks]] &lt;=0.5, $O$2, IF(TobComp[[#This Row],[Density * 48/weeks]] &lt;=2.5, $O$3, IF(TobComp[[#This Row],[Density * 48/weeks]] &lt;=40, $O$4, $O$5)))</f>
        <v>25</v>
      </c>
    </row>
    <row r="163" spans="1:10" x14ac:dyDescent="0.2">
      <c r="A163" s="24">
        <v>1</v>
      </c>
      <c r="B163" s="1"/>
      <c r="C163" s="1" t="s">
        <v>367</v>
      </c>
      <c r="D163" s="1">
        <v>1016.2</v>
      </c>
      <c r="E163" s="61">
        <v>20</v>
      </c>
      <c r="F163" s="1">
        <f>TobComp[[#This Row],[Number of Retailers in County]]/TobComp[[#This Row],[County Land Mass (mi^2)]]</f>
        <v>1.9681165124975399E-2</v>
      </c>
      <c r="G163" s="2"/>
      <c r="H163" s="62">
        <f>TobComp[[#This Row],[Retail Density of County]]*48</f>
        <v>0.94469592599881913</v>
      </c>
      <c r="I163" s="1">
        <f>IF(TobComp[[#This Row],[Density * 48/weeks]] &lt;=0.5, 1, IF(TobComp[[#This Row],[Density * 48/weeks]] &lt;=2.5, 2, IF(TobComp[[#This Row],[Density * 48/weeks]] &lt;=40, 3, 4)))</f>
        <v>2</v>
      </c>
      <c r="J163" s="1">
        <f>IF(TobComp[[#This Row],[Density * 48/weeks]] &lt;=0.5, $O$2, IF(TobComp[[#This Row],[Density * 48/weeks]] &lt;=2.5, $O$3, IF(TobComp[[#This Row],[Density * 48/weeks]] &lt;=40, $O$4, $O$5)))</f>
        <v>25</v>
      </c>
    </row>
    <row r="164" spans="1:10" x14ac:dyDescent="0.2">
      <c r="A164" s="24">
        <v>1</v>
      </c>
      <c r="B164" s="1"/>
      <c r="C164" s="1" t="s">
        <v>368</v>
      </c>
      <c r="D164" s="1">
        <v>888.8</v>
      </c>
      <c r="E164" s="61">
        <v>17</v>
      </c>
      <c r="F164" s="1">
        <f>TobComp[[#This Row],[Number of Retailers in County]]/TobComp[[#This Row],[County Land Mass (mi^2)]]</f>
        <v>1.9126912691269128E-2</v>
      </c>
      <c r="G164" s="2"/>
      <c r="H164" s="62">
        <f>TobComp[[#This Row],[Retail Density of County]]*48</f>
        <v>0.91809180918091815</v>
      </c>
      <c r="I164" s="1">
        <f>IF(TobComp[[#This Row],[Density * 48/weeks]] &lt;=0.5, 1, IF(TobComp[[#This Row],[Density * 48/weeks]] &lt;=2.5, 2, IF(TobComp[[#This Row],[Density * 48/weeks]] &lt;=40, 3, 4)))</f>
        <v>2</v>
      </c>
      <c r="J164" s="1">
        <f>IF(TobComp[[#This Row],[Density * 48/weeks]] &lt;=0.5, $O$2, IF(TobComp[[#This Row],[Density * 48/weeks]] &lt;=2.5, $O$3, IF(TobComp[[#This Row],[Density * 48/weeks]] &lt;=40, $O$4, $O$5)))</f>
        <v>25</v>
      </c>
    </row>
    <row r="165" spans="1:10" x14ac:dyDescent="0.2">
      <c r="A165" s="24">
        <v>2</v>
      </c>
      <c r="B165" s="1"/>
      <c r="C165" s="1" t="s">
        <v>369</v>
      </c>
      <c r="D165" s="1">
        <v>903.1</v>
      </c>
      <c r="E165" s="61">
        <v>17</v>
      </c>
      <c r="F165" s="1">
        <f>TobComp[[#This Row],[Number of Retailers in County]]/TobComp[[#This Row],[County Land Mass (mi^2)]]</f>
        <v>1.8824050492747203E-2</v>
      </c>
      <c r="G165" s="2"/>
      <c r="H165" s="62">
        <f>TobComp[[#This Row],[Retail Density of County]]*48</f>
        <v>0.90355442365186578</v>
      </c>
      <c r="I165" s="1">
        <f>IF(TobComp[[#This Row],[Density * 48/weeks]] &lt;=0.5, 1, IF(TobComp[[#This Row],[Density * 48/weeks]] &lt;=2.5, 2, IF(TobComp[[#This Row],[Density * 48/weeks]] &lt;=40, 3, 4)))</f>
        <v>2</v>
      </c>
      <c r="J165" s="1">
        <f>IF(TobComp[[#This Row],[Density * 48/weeks]] &lt;=0.5, $O$2, IF(TobComp[[#This Row],[Density * 48/weeks]] &lt;=2.5, $O$3, IF(TobComp[[#This Row],[Density * 48/weeks]] &lt;=40, $O$4, $O$5)))</f>
        <v>25</v>
      </c>
    </row>
    <row r="166" spans="1:10" x14ac:dyDescent="0.2">
      <c r="A166" s="24">
        <v>9</v>
      </c>
      <c r="B166" s="1"/>
      <c r="C166" s="1" t="s">
        <v>370</v>
      </c>
      <c r="D166" s="1">
        <v>1502.4</v>
      </c>
      <c r="E166" s="61">
        <v>28</v>
      </c>
      <c r="F166" s="1">
        <f>TobComp[[#This Row],[Number of Retailers in County]]/TobComp[[#This Row],[County Land Mass (mi^2)]]</f>
        <v>1.8636847710330137E-2</v>
      </c>
      <c r="G166" s="2"/>
      <c r="H166" s="62">
        <f>TobComp[[#This Row],[Retail Density of County]]*48</f>
        <v>0.8945686900958465</v>
      </c>
      <c r="I166" s="1">
        <f>IF(TobComp[[#This Row],[Density * 48/weeks]] &lt;=0.5, 1, IF(TobComp[[#This Row],[Density * 48/weeks]] &lt;=2.5, 2, IF(TobComp[[#This Row],[Density * 48/weeks]] &lt;=40, 3, 4)))</f>
        <v>2</v>
      </c>
      <c r="J166" s="1">
        <f>IF(TobComp[[#This Row],[Density * 48/weeks]] &lt;=0.5, $O$2, IF(TobComp[[#This Row],[Density * 48/weeks]] &lt;=2.5, $O$3, IF(TobComp[[#This Row],[Density * 48/weeks]] &lt;=40, $O$4, $O$5)))</f>
        <v>25</v>
      </c>
    </row>
    <row r="167" spans="1:10" x14ac:dyDescent="0.2">
      <c r="A167" s="24">
        <v>2</v>
      </c>
      <c r="B167" s="1"/>
      <c r="C167" s="1" t="s">
        <v>371</v>
      </c>
      <c r="D167" s="1">
        <v>971</v>
      </c>
      <c r="E167" s="61">
        <v>18</v>
      </c>
      <c r="F167" s="1">
        <f>TobComp[[#This Row],[Number of Retailers in County]]/TobComp[[#This Row],[County Land Mass (mi^2)]]</f>
        <v>1.8537590113285273E-2</v>
      </c>
      <c r="G167" s="2"/>
      <c r="H167" s="62">
        <f>TobComp[[#This Row],[Retail Density of County]]*48</f>
        <v>0.88980432543769306</v>
      </c>
      <c r="I167" s="1">
        <f>IF(TobComp[[#This Row],[Density * 48/weeks]] &lt;=0.5, 1, IF(TobComp[[#This Row],[Density * 48/weeks]] &lt;=2.5, 2, IF(TobComp[[#This Row],[Density * 48/weeks]] &lt;=40, 3, 4)))</f>
        <v>2</v>
      </c>
      <c r="J167" s="1">
        <f>IF(TobComp[[#This Row],[Density * 48/weeks]] &lt;=0.5, $O$2, IF(TobComp[[#This Row],[Density * 48/weeks]] &lt;=2.5, $O$3, IF(TobComp[[#This Row],[Density * 48/weeks]] &lt;=40, $O$4, $O$5)))</f>
        <v>25</v>
      </c>
    </row>
    <row r="168" spans="1:10" x14ac:dyDescent="0.2">
      <c r="A168" s="24">
        <v>9</v>
      </c>
      <c r="B168" s="1"/>
      <c r="C168" s="1" t="s">
        <v>372</v>
      </c>
      <c r="D168" s="1">
        <v>900.3</v>
      </c>
      <c r="E168" s="61">
        <v>16</v>
      </c>
      <c r="F168" s="1">
        <f>TobComp[[#This Row],[Number of Retailers in County]]/TobComp[[#This Row],[County Land Mass (mi^2)]]</f>
        <v>1.7771853826502277E-2</v>
      </c>
      <c r="G168" s="2"/>
      <c r="H168" s="62">
        <f>TobComp[[#This Row],[Retail Density of County]]*48</f>
        <v>0.85304898367210935</v>
      </c>
      <c r="I168" s="1">
        <f>IF(TobComp[[#This Row],[Density * 48/weeks]] &lt;=0.5, 1, IF(TobComp[[#This Row],[Density * 48/weeks]] &lt;=2.5, 2, IF(TobComp[[#This Row],[Density * 48/weeks]] &lt;=40, 3, 4)))</f>
        <v>2</v>
      </c>
      <c r="J168" s="1">
        <f>IF(TobComp[[#This Row],[Density * 48/weeks]] &lt;=0.5, $O$2, IF(TobComp[[#This Row],[Density * 48/weeks]] &lt;=2.5, $O$3, IF(TobComp[[#This Row],[Density * 48/weeks]] &lt;=40, $O$4, $O$5)))</f>
        <v>25</v>
      </c>
    </row>
    <row r="169" spans="1:10" x14ac:dyDescent="0.2">
      <c r="A169" s="24">
        <v>8</v>
      </c>
      <c r="B169" s="1"/>
      <c r="C169" s="1" t="s">
        <v>373</v>
      </c>
      <c r="D169" s="1">
        <v>1328.9</v>
      </c>
      <c r="E169" s="61">
        <v>23</v>
      </c>
      <c r="F169" s="1">
        <f>TobComp[[#This Row],[Number of Retailers in County]]/TobComp[[#This Row],[County Land Mass (mi^2)]]</f>
        <v>1.7307547595755889E-2</v>
      </c>
      <c r="G169" s="2"/>
      <c r="H169" s="62">
        <f>TobComp[[#This Row],[Retail Density of County]]*48</f>
        <v>0.83076228459628265</v>
      </c>
      <c r="I169" s="1">
        <f>IF(TobComp[[#This Row],[Density * 48/weeks]] &lt;=0.5, 1, IF(TobComp[[#This Row],[Density * 48/weeks]] &lt;=2.5, 2, IF(TobComp[[#This Row],[Density * 48/weeks]] &lt;=40, 3, 4)))</f>
        <v>2</v>
      </c>
      <c r="J169" s="1">
        <f>IF(TobComp[[#This Row],[Density * 48/weeks]] &lt;=0.5, $O$2, IF(TobComp[[#This Row],[Density * 48/weeks]] &lt;=2.5, $O$3, IF(TobComp[[#This Row],[Density * 48/weeks]] &lt;=40, $O$4, $O$5)))</f>
        <v>25</v>
      </c>
    </row>
    <row r="170" spans="1:10" x14ac:dyDescent="0.2">
      <c r="A170" s="24">
        <v>1</v>
      </c>
      <c r="B170" s="1"/>
      <c r="C170" s="1" t="s">
        <v>374</v>
      </c>
      <c r="D170" s="1">
        <v>696.5</v>
      </c>
      <c r="E170" s="61">
        <v>12</v>
      </c>
      <c r="F170" s="1">
        <f>TobComp[[#This Row],[Number of Retailers in County]]/TobComp[[#This Row],[County Land Mass (mi^2)]]</f>
        <v>1.7229002153625269E-2</v>
      </c>
      <c r="G170" s="2"/>
      <c r="H170" s="62">
        <f>TobComp[[#This Row],[Retail Density of County]]*48</f>
        <v>0.82699210337401285</v>
      </c>
      <c r="I170" s="1">
        <f>IF(TobComp[[#This Row],[Density * 48/weeks]] &lt;=0.5, 1, IF(TobComp[[#This Row],[Density * 48/weeks]] &lt;=2.5, 2, IF(TobComp[[#This Row],[Density * 48/weeks]] &lt;=40, 3, 4)))</f>
        <v>2</v>
      </c>
      <c r="J170" s="1">
        <f>IF(TobComp[[#This Row],[Density * 48/weeks]] &lt;=0.5, $O$2, IF(TobComp[[#This Row],[Density * 48/weeks]] &lt;=2.5, $O$3, IF(TobComp[[#This Row],[Density * 48/weeks]] &lt;=40, $O$4, $O$5)))</f>
        <v>25</v>
      </c>
    </row>
    <row r="171" spans="1:10" x14ac:dyDescent="0.2">
      <c r="A171" s="24">
        <v>1</v>
      </c>
      <c r="B171" s="1"/>
      <c r="C171" s="1" t="s">
        <v>375</v>
      </c>
      <c r="D171" s="1">
        <v>880.8</v>
      </c>
      <c r="E171" s="61">
        <v>15</v>
      </c>
      <c r="F171" s="1">
        <f>TobComp[[#This Row],[Number of Retailers in County]]/TobComp[[#This Row],[County Land Mass (mi^2)]]</f>
        <v>1.7029972752043598E-2</v>
      </c>
      <c r="G171" s="2"/>
      <c r="H171" s="62">
        <f>TobComp[[#This Row],[Retail Density of County]]*48</f>
        <v>0.81743869209809272</v>
      </c>
      <c r="I171" s="1">
        <f>IF(TobComp[[#This Row],[Density * 48/weeks]] &lt;=0.5, 1, IF(TobComp[[#This Row],[Density * 48/weeks]] &lt;=2.5, 2, IF(TobComp[[#This Row],[Density * 48/weeks]] &lt;=40, 3, 4)))</f>
        <v>2</v>
      </c>
      <c r="J171" s="1">
        <f>IF(TobComp[[#This Row],[Density * 48/weeks]] &lt;=0.5, $O$2, IF(TobComp[[#This Row],[Density * 48/weeks]] &lt;=2.5, $O$3, IF(TobComp[[#This Row],[Density * 48/weeks]] &lt;=40, $O$4, $O$5)))</f>
        <v>25</v>
      </c>
    </row>
    <row r="172" spans="1:10" x14ac:dyDescent="0.2">
      <c r="A172" s="24">
        <v>11</v>
      </c>
      <c r="B172" s="1"/>
      <c r="C172" s="1" t="s">
        <v>376</v>
      </c>
      <c r="D172" s="1">
        <v>943.4</v>
      </c>
      <c r="E172" s="61">
        <v>16</v>
      </c>
      <c r="F172" s="1">
        <f>TobComp[[#This Row],[Number of Retailers in County]]/TobComp[[#This Row],[County Land Mass (mi^2)]]</f>
        <v>1.6959932160271359E-2</v>
      </c>
      <c r="G172" s="2"/>
      <c r="H172" s="62">
        <f>TobComp[[#This Row],[Retail Density of County]]*48</f>
        <v>0.81407674369302518</v>
      </c>
      <c r="I172" s="1">
        <f>IF(TobComp[[#This Row],[Density * 48/weeks]] &lt;=0.5, 1, IF(TobComp[[#This Row],[Density * 48/weeks]] &lt;=2.5, 2, IF(TobComp[[#This Row],[Density * 48/weeks]] &lt;=40, 3, 4)))</f>
        <v>2</v>
      </c>
      <c r="J172" s="1">
        <f>IF(TobComp[[#This Row],[Density * 48/weeks]] &lt;=0.5, $O$2, IF(TobComp[[#This Row],[Density * 48/weeks]] &lt;=2.5, $O$3, IF(TobComp[[#This Row],[Density * 48/weeks]] &lt;=40, $O$4, $O$5)))</f>
        <v>25</v>
      </c>
    </row>
    <row r="173" spans="1:10" x14ac:dyDescent="0.2">
      <c r="A173" s="24">
        <v>1</v>
      </c>
      <c r="B173" s="25"/>
      <c r="C173" s="1" t="s">
        <v>377</v>
      </c>
      <c r="D173" s="26">
        <v>827</v>
      </c>
      <c r="E173" s="61">
        <v>14</v>
      </c>
      <c r="F173" s="1">
        <f>TobComp[[#This Row],[Number of Retailers in County]]/TobComp[[#This Row],[County Land Mass (mi^2)]]</f>
        <v>1.6928657799274487E-2</v>
      </c>
      <c r="G173" s="2"/>
      <c r="H173" s="62">
        <f>TobComp[[#This Row],[Retail Density of County]]*48</f>
        <v>0.81257557436517536</v>
      </c>
      <c r="I173" s="1">
        <f>IF(TobComp[[#This Row],[Density * 48/weeks]] &lt;=0.5, 1, IF(TobComp[[#This Row],[Density * 48/weeks]] &lt;=2.5, 2, IF(TobComp[[#This Row],[Density * 48/weeks]] &lt;=40, 3, 4)))</f>
        <v>2</v>
      </c>
      <c r="J173" s="1">
        <f>IF(TobComp[[#This Row],[Density * 48/weeks]] &lt;=0.5, $O$2, IF(TobComp[[#This Row],[Density * 48/weeks]] &lt;=2.5, $O$3, IF(TobComp[[#This Row],[Density * 48/weeks]] &lt;=40, $O$4, $O$5)))</f>
        <v>25</v>
      </c>
    </row>
    <row r="174" spans="1:10" x14ac:dyDescent="0.2">
      <c r="A174" s="24">
        <v>9</v>
      </c>
      <c r="B174" s="1"/>
      <c r="C174" s="1" t="s">
        <v>378</v>
      </c>
      <c r="D174" s="1">
        <v>1251</v>
      </c>
      <c r="E174" s="61">
        <v>21</v>
      </c>
      <c r="F174" s="1">
        <f>TobComp[[#This Row],[Number of Retailers in County]]/TobComp[[#This Row],[County Land Mass (mi^2)]]</f>
        <v>1.6786570743405275E-2</v>
      </c>
      <c r="G174" s="2"/>
      <c r="H174" s="62">
        <f>TobComp[[#This Row],[Retail Density of County]]*48</f>
        <v>0.80575539568345322</v>
      </c>
      <c r="I174" s="1">
        <f>IF(TobComp[[#This Row],[Density * 48/weeks]] &lt;=0.5, 1, IF(TobComp[[#This Row],[Density * 48/weeks]] &lt;=2.5, 2, IF(TobComp[[#This Row],[Density * 48/weeks]] &lt;=40, 3, 4)))</f>
        <v>2</v>
      </c>
      <c r="J174" s="1">
        <f>IF(TobComp[[#This Row],[Density * 48/weeks]] &lt;=0.5, $O$2, IF(TobComp[[#This Row],[Density * 48/weeks]] &lt;=2.5, $O$3, IF(TobComp[[#This Row],[Density * 48/weeks]] &lt;=40, $O$4, $O$5)))</f>
        <v>25</v>
      </c>
    </row>
    <row r="175" spans="1:10" x14ac:dyDescent="0.2">
      <c r="A175" s="24">
        <v>2</v>
      </c>
      <c r="B175" s="1"/>
      <c r="C175" s="1" t="s">
        <v>379</v>
      </c>
      <c r="D175" s="1">
        <v>911</v>
      </c>
      <c r="E175" s="61">
        <v>15</v>
      </c>
      <c r="F175" s="1">
        <f>TobComp[[#This Row],[Number of Retailers in County]]/TobComp[[#This Row],[County Land Mass (mi^2)]]</f>
        <v>1.6465422612513721E-2</v>
      </c>
      <c r="G175" s="2"/>
      <c r="H175" s="62">
        <f>TobComp[[#This Row],[Retail Density of County]]*48</f>
        <v>0.79034028540065859</v>
      </c>
      <c r="I175" s="1">
        <f>IF(TobComp[[#This Row],[Density * 48/weeks]] &lt;=0.5, 1, IF(TobComp[[#This Row],[Density * 48/weeks]] &lt;=2.5, 2, IF(TobComp[[#This Row],[Density * 48/weeks]] &lt;=40, 3, 4)))</f>
        <v>2</v>
      </c>
      <c r="J175" s="1">
        <f>IF(TobComp[[#This Row],[Density * 48/weeks]] &lt;=0.5, $O$2, IF(TobComp[[#This Row],[Density * 48/weeks]] &lt;=2.5, $O$3, IF(TobComp[[#This Row],[Density * 48/weeks]] &lt;=40, $O$4, $O$5)))</f>
        <v>25</v>
      </c>
    </row>
    <row r="176" spans="1:10" x14ac:dyDescent="0.2">
      <c r="A176" s="24">
        <v>1</v>
      </c>
      <c r="B176" s="1"/>
      <c r="C176" s="1" t="s">
        <v>380</v>
      </c>
      <c r="D176" s="1">
        <v>914.5</v>
      </c>
      <c r="E176" s="61">
        <v>15</v>
      </c>
      <c r="F176" s="1">
        <f>TobComp[[#This Row],[Number of Retailers in County]]/TobComp[[#This Row],[County Land Mass (mi^2)]]</f>
        <v>1.6402405686167305E-2</v>
      </c>
      <c r="G176" s="2"/>
      <c r="H176" s="62">
        <f>TobComp[[#This Row],[Retail Density of County]]*48</f>
        <v>0.78731547293603066</v>
      </c>
      <c r="I176" s="1">
        <f>IF(TobComp[[#This Row],[Density * 48/weeks]] &lt;=0.5, 1, IF(TobComp[[#This Row],[Density * 48/weeks]] &lt;=2.5, 2, IF(TobComp[[#This Row],[Density * 48/weeks]] &lt;=40, 3, 4)))</f>
        <v>2</v>
      </c>
      <c r="J176" s="1">
        <f>IF(TobComp[[#This Row],[Density * 48/weeks]] &lt;=0.5, $O$2, IF(TobComp[[#This Row],[Density * 48/weeks]] &lt;=2.5, $O$3, IF(TobComp[[#This Row],[Density * 48/weeks]] &lt;=40, $O$4, $O$5)))</f>
        <v>25</v>
      </c>
    </row>
    <row r="177" spans="1:10" x14ac:dyDescent="0.2">
      <c r="A177" s="24">
        <v>1</v>
      </c>
      <c r="B177" s="1"/>
      <c r="C177" s="1" t="s">
        <v>381</v>
      </c>
      <c r="D177" s="1">
        <v>917.7</v>
      </c>
      <c r="E177" s="61">
        <v>15</v>
      </c>
      <c r="F177" s="1">
        <f>TobComp[[#This Row],[Number of Retailers in County]]/TobComp[[#This Row],[County Land Mass (mi^2)]]</f>
        <v>1.6345210853220007E-2</v>
      </c>
      <c r="G177" s="2"/>
      <c r="H177" s="62">
        <f>TobComp[[#This Row],[Retail Density of County]]*48</f>
        <v>0.78457012095456036</v>
      </c>
      <c r="I177" s="1">
        <f>IF(TobComp[[#This Row],[Density * 48/weeks]] &lt;=0.5, 1, IF(TobComp[[#This Row],[Density * 48/weeks]] &lt;=2.5, 2, IF(TobComp[[#This Row],[Density * 48/weeks]] &lt;=40, 3, 4)))</f>
        <v>2</v>
      </c>
      <c r="J177" s="1">
        <f>IF(TobComp[[#This Row],[Density * 48/weeks]] &lt;=0.5, $O$2, IF(TobComp[[#This Row],[Density * 48/weeks]] &lt;=2.5, $O$3, IF(TobComp[[#This Row],[Density * 48/weeks]] &lt;=40, $O$4, $O$5)))</f>
        <v>25</v>
      </c>
    </row>
    <row r="178" spans="1:10" x14ac:dyDescent="0.2">
      <c r="A178" s="24">
        <v>1</v>
      </c>
      <c r="B178" s="1"/>
      <c r="C178" s="1" t="s">
        <v>382</v>
      </c>
      <c r="D178" s="1">
        <v>799.7</v>
      </c>
      <c r="E178" s="61">
        <v>13</v>
      </c>
      <c r="F178" s="1">
        <f>TobComp[[#This Row],[Number of Retailers in County]]/TobComp[[#This Row],[County Land Mass (mi^2)]]</f>
        <v>1.6256096036013506E-2</v>
      </c>
      <c r="G178" s="2"/>
      <c r="H178" s="62">
        <f>TobComp[[#This Row],[Retail Density of County]]*48</f>
        <v>0.78029260972864822</v>
      </c>
      <c r="I178" s="1">
        <f>IF(TobComp[[#This Row],[Density * 48/weeks]] &lt;=0.5, 1, IF(TobComp[[#This Row],[Density * 48/weeks]] &lt;=2.5, 2, IF(TobComp[[#This Row],[Density * 48/weeks]] &lt;=40, 3, 4)))</f>
        <v>2</v>
      </c>
      <c r="J178" s="1">
        <f>IF(TobComp[[#This Row],[Density * 48/weeks]] &lt;=0.5, $O$2, IF(TobComp[[#This Row],[Density * 48/weeks]] &lt;=2.5, $O$3, IF(TobComp[[#This Row],[Density * 48/weeks]] &lt;=40, $O$4, $O$5)))</f>
        <v>25</v>
      </c>
    </row>
    <row r="179" spans="1:10" x14ac:dyDescent="0.2">
      <c r="A179" s="24">
        <v>2</v>
      </c>
      <c r="B179" s="1"/>
      <c r="C179" s="1" t="s">
        <v>383</v>
      </c>
      <c r="D179" s="1">
        <v>1262.9000000000001</v>
      </c>
      <c r="E179" s="61">
        <v>20</v>
      </c>
      <c r="F179" s="1">
        <f>TobComp[[#This Row],[Number of Retailers in County]]/TobComp[[#This Row],[County Land Mass (mi^2)]]</f>
        <v>1.5836566632354103E-2</v>
      </c>
      <c r="G179" s="2"/>
      <c r="H179" s="62">
        <f>TobComp[[#This Row],[Retail Density of County]]*48</f>
        <v>0.76015519835299694</v>
      </c>
      <c r="I179" s="1">
        <f>IF(TobComp[[#This Row],[Density * 48/weeks]] &lt;=0.5, 1, IF(TobComp[[#This Row],[Density * 48/weeks]] &lt;=2.5, 2, IF(TobComp[[#This Row],[Density * 48/weeks]] &lt;=40, 3, 4)))</f>
        <v>2</v>
      </c>
      <c r="J179" s="1">
        <f>IF(TobComp[[#This Row],[Density * 48/weeks]] &lt;=0.5, $O$2, IF(TobComp[[#This Row],[Density * 48/weeks]] &lt;=2.5, $O$3, IF(TobComp[[#This Row],[Density * 48/weeks]] &lt;=40, $O$4, $O$5)))</f>
        <v>25</v>
      </c>
    </row>
    <row r="180" spans="1:10" x14ac:dyDescent="0.2">
      <c r="A180" s="24">
        <v>2</v>
      </c>
      <c r="B180" s="1"/>
      <c r="C180" s="1" t="s">
        <v>384</v>
      </c>
      <c r="D180" s="1">
        <v>1088.8</v>
      </c>
      <c r="E180" s="61">
        <v>17</v>
      </c>
      <c r="F180" s="1">
        <f>TobComp[[#This Row],[Number of Retailers in County]]/TobComp[[#This Row],[County Land Mass (mi^2)]]</f>
        <v>1.5613519470977224E-2</v>
      </c>
      <c r="G180" s="2"/>
      <c r="H180" s="62">
        <f>TobComp[[#This Row],[Retail Density of County]]*48</f>
        <v>0.74944893460690676</v>
      </c>
      <c r="I180" s="1">
        <f>IF(TobComp[[#This Row],[Density * 48/weeks]] &lt;=0.5, 1, IF(TobComp[[#This Row],[Density * 48/weeks]] &lt;=2.5, 2, IF(TobComp[[#This Row],[Density * 48/weeks]] &lt;=40, 3, 4)))</f>
        <v>2</v>
      </c>
      <c r="J180" s="1">
        <f>IF(TobComp[[#This Row],[Density * 48/weeks]] &lt;=0.5, $O$2, IF(TobComp[[#This Row],[Density * 48/weeks]] &lt;=2.5, $O$3, IF(TobComp[[#This Row],[Density * 48/weeks]] &lt;=40, $O$4, $O$5)))</f>
        <v>25</v>
      </c>
    </row>
    <row r="181" spans="1:10" x14ac:dyDescent="0.2">
      <c r="A181" s="24">
        <v>2</v>
      </c>
      <c r="B181" s="1"/>
      <c r="C181" t="s">
        <v>385</v>
      </c>
      <c r="D181" s="1">
        <v>903.3</v>
      </c>
      <c r="E181" s="61">
        <v>14</v>
      </c>
      <c r="F181" s="1">
        <f>TobComp[[#This Row],[Number of Retailers in County]]/TobComp[[#This Row],[County Land Mass (mi^2)]]</f>
        <v>1.5498726890291156E-2</v>
      </c>
      <c r="G181" s="2"/>
      <c r="H181" s="62">
        <f>TobComp[[#This Row],[Retail Density of County]]*48</f>
        <v>0.74393889073397546</v>
      </c>
      <c r="I181" s="1">
        <f>IF(TobComp[[#This Row],[Density * 48/weeks]] &lt;=0.5, 1, IF(TobComp[[#This Row],[Density * 48/weeks]] &lt;=2.5, 2, IF(TobComp[[#This Row],[Density * 48/weeks]] &lt;=40, 3, 4)))</f>
        <v>2</v>
      </c>
      <c r="J181" s="1">
        <f>IF(TobComp[[#This Row],[Density * 48/weeks]] &lt;=0.5, $O$2, IF(TobComp[[#This Row],[Density * 48/weeks]] &lt;=2.5, $O$3, IF(TobComp[[#This Row],[Density * 48/weeks]] &lt;=40, $O$4, $O$5)))</f>
        <v>25</v>
      </c>
    </row>
    <row r="182" spans="1:10" x14ac:dyDescent="0.2">
      <c r="A182" s="24">
        <v>1</v>
      </c>
      <c r="B182" s="1"/>
      <c r="C182" s="1" t="s">
        <v>386</v>
      </c>
      <c r="D182" s="1">
        <v>1496.8</v>
      </c>
      <c r="E182" s="61">
        <v>23</v>
      </c>
      <c r="F182" s="1">
        <f>TobComp[[#This Row],[Number of Retailers in County]]/TobComp[[#This Row],[County Land Mass (mi^2)]]</f>
        <v>1.5366114377338322E-2</v>
      </c>
      <c r="G182" s="2"/>
      <c r="H182" s="62">
        <f>TobComp[[#This Row],[Retail Density of County]]*48</f>
        <v>0.73757349011223949</v>
      </c>
      <c r="I182" s="1">
        <f>IF(TobComp[[#This Row],[Density * 48/weeks]] &lt;=0.5, 1, IF(TobComp[[#This Row],[Density * 48/weeks]] &lt;=2.5, 2, IF(TobComp[[#This Row],[Density * 48/weeks]] &lt;=40, 3, 4)))</f>
        <v>2</v>
      </c>
      <c r="J182" s="1">
        <f>IF(TobComp[[#This Row],[Density * 48/weeks]] &lt;=0.5, $O$2, IF(TobComp[[#This Row],[Density * 48/weeks]] &lt;=2.5, $O$3, IF(TobComp[[#This Row],[Density * 48/weeks]] &lt;=40, $O$4, $O$5)))</f>
        <v>25</v>
      </c>
    </row>
    <row r="183" spans="1:10" x14ac:dyDescent="0.2">
      <c r="A183" s="24">
        <v>2</v>
      </c>
      <c r="B183" s="1"/>
      <c r="C183" s="1" t="s">
        <v>387</v>
      </c>
      <c r="D183" s="1">
        <v>911.1</v>
      </c>
      <c r="E183" s="61">
        <v>14</v>
      </c>
      <c r="F183" s="1">
        <f>TobComp[[#This Row],[Number of Retailers in County]]/TobComp[[#This Row],[County Land Mass (mi^2)]]</f>
        <v>1.5366041049281088E-2</v>
      </c>
      <c r="G183" s="2"/>
      <c r="H183" s="62">
        <f>TobComp[[#This Row],[Retail Density of County]]*48</f>
        <v>0.73756997036549221</v>
      </c>
      <c r="I183" s="1">
        <f>IF(TobComp[[#This Row],[Density * 48/weeks]] &lt;=0.5, 1, IF(TobComp[[#This Row],[Density * 48/weeks]] &lt;=2.5, 2, IF(TobComp[[#This Row],[Density * 48/weeks]] &lt;=40, 3, 4)))</f>
        <v>2</v>
      </c>
      <c r="J183" s="1">
        <f>IF(TobComp[[#This Row],[Density * 48/weeks]] &lt;=0.5, $O$2, IF(TobComp[[#This Row],[Density * 48/weeks]] &lt;=2.5, $O$3, IF(TobComp[[#This Row],[Density * 48/weeks]] &lt;=40, $O$4, $O$5)))</f>
        <v>25</v>
      </c>
    </row>
    <row r="184" spans="1:10" x14ac:dyDescent="0.2">
      <c r="A184" s="24">
        <v>9</v>
      </c>
      <c r="B184" s="1"/>
      <c r="C184" s="1" t="s">
        <v>388</v>
      </c>
      <c r="D184" s="1">
        <v>2635.4</v>
      </c>
      <c r="E184" s="61">
        <v>40</v>
      </c>
      <c r="F184" s="1">
        <f>TobComp[[#This Row],[Number of Retailers in County]]/TobComp[[#This Row],[County Land Mass (mi^2)]]</f>
        <v>1.5177961599757152E-2</v>
      </c>
      <c r="G184" s="2"/>
      <c r="H184" s="62">
        <f>TobComp[[#This Row],[Retail Density of County]]*48</f>
        <v>0.72854215678834333</v>
      </c>
      <c r="I184" s="1">
        <f>IF(TobComp[[#This Row],[Density * 48/weeks]] &lt;=0.5, 1, IF(TobComp[[#This Row],[Density * 48/weeks]] &lt;=2.5, 2, IF(TobComp[[#This Row],[Density * 48/weeks]] &lt;=40, 3, 4)))</f>
        <v>2</v>
      </c>
      <c r="J184" s="1">
        <f>IF(TobComp[[#This Row],[Density * 48/weeks]] &lt;=0.5, $O$2, IF(TobComp[[#This Row],[Density * 48/weeks]] &lt;=2.5, $O$3, IF(TobComp[[#This Row],[Density * 48/weeks]] &lt;=40, $O$4, $O$5)))</f>
        <v>25</v>
      </c>
    </row>
    <row r="185" spans="1:10" x14ac:dyDescent="0.2">
      <c r="A185" s="24">
        <v>9</v>
      </c>
      <c r="B185" s="1"/>
      <c r="C185" t="s">
        <v>389</v>
      </c>
      <c r="D185" s="1">
        <v>1500.7</v>
      </c>
      <c r="E185" s="61">
        <v>22</v>
      </c>
      <c r="F185" s="1">
        <f>TobComp[[#This Row],[Number of Retailers in County]]/TobComp[[#This Row],[County Land Mass (mi^2)]]</f>
        <v>1.4659825414806423E-2</v>
      </c>
      <c r="G185" s="2"/>
      <c r="H185" s="62">
        <f>TobComp[[#This Row],[Retail Density of County]]*48</f>
        <v>0.70367161991070826</v>
      </c>
      <c r="I185" s="1">
        <f>IF(TobComp[[#This Row],[Density * 48/weeks]] &lt;=0.5, 1, IF(TobComp[[#This Row],[Density * 48/weeks]] &lt;=2.5, 2, IF(TobComp[[#This Row],[Density * 48/weeks]] &lt;=40, 3, 4)))</f>
        <v>2</v>
      </c>
      <c r="J185" s="1">
        <f>IF(TobComp[[#This Row],[Density * 48/weeks]] &lt;=0.5, $O$2, IF(TobComp[[#This Row],[Density * 48/weeks]] &lt;=2.5, $O$3, IF(TobComp[[#This Row],[Density * 48/weeks]] &lt;=40, $O$4, $O$5)))</f>
        <v>25</v>
      </c>
    </row>
    <row r="186" spans="1:10" x14ac:dyDescent="0.2">
      <c r="A186" s="24">
        <v>8</v>
      </c>
      <c r="B186" s="1"/>
      <c r="C186" s="1" t="s">
        <v>390</v>
      </c>
      <c r="D186" s="1">
        <v>1297.4000000000001</v>
      </c>
      <c r="E186" s="61">
        <v>18</v>
      </c>
      <c r="F186" s="1">
        <f>TobComp[[#This Row],[Number of Retailers in County]]/TobComp[[#This Row],[County Land Mass (mi^2)]]</f>
        <v>1.3873901649452751E-2</v>
      </c>
      <c r="G186" s="2"/>
      <c r="H186" s="62">
        <f>TobComp[[#This Row],[Retail Density of County]]*48</f>
        <v>0.66594727917373209</v>
      </c>
      <c r="I186" s="1">
        <f>IF(TobComp[[#This Row],[Density * 48/weeks]] &lt;=0.5, 1, IF(TobComp[[#This Row],[Density * 48/weeks]] &lt;=2.5, 2, IF(TobComp[[#This Row],[Density * 48/weeks]] &lt;=40, 3, 4)))</f>
        <v>2</v>
      </c>
      <c r="J186" s="1">
        <f>IF(TobComp[[#This Row],[Density * 48/weeks]] &lt;=0.5, $O$2, IF(TobComp[[#This Row],[Density * 48/weeks]] &lt;=2.5, $O$3, IF(TobComp[[#This Row],[Density * 48/weeks]] &lt;=40, $O$4, $O$5)))</f>
        <v>25</v>
      </c>
    </row>
    <row r="187" spans="1:10" x14ac:dyDescent="0.2">
      <c r="A187" s="24">
        <v>7</v>
      </c>
      <c r="B187" s="1"/>
      <c r="C187" s="1" t="s">
        <v>391</v>
      </c>
      <c r="D187" s="1">
        <v>748.2</v>
      </c>
      <c r="E187" s="61">
        <v>10</v>
      </c>
      <c r="F187" s="1">
        <f>TobComp[[#This Row],[Number of Retailers in County]]/TobComp[[#This Row],[County Land Mass (mi^2)]]</f>
        <v>1.3365410318096765E-2</v>
      </c>
      <c r="G187" s="2"/>
      <c r="H187" s="62">
        <f>TobComp[[#This Row],[Retail Density of County]]*48</f>
        <v>0.64153969526864474</v>
      </c>
      <c r="I187" s="1">
        <f>IF(TobComp[[#This Row],[Density * 48/weeks]] &lt;=0.5, 1, IF(TobComp[[#This Row],[Density * 48/weeks]] &lt;=2.5, 2, IF(TobComp[[#This Row],[Density * 48/weeks]] &lt;=40, 3, 4)))</f>
        <v>2</v>
      </c>
      <c r="J187" s="1">
        <f>IF(TobComp[[#This Row],[Density * 48/weeks]] &lt;=0.5, $O$2, IF(TobComp[[#This Row],[Density * 48/weeks]] &lt;=2.5, $O$3, IF(TobComp[[#This Row],[Density * 48/weeks]] &lt;=40, $O$4, $O$5)))</f>
        <v>25</v>
      </c>
    </row>
    <row r="188" spans="1:10" x14ac:dyDescent="0.2">
      <c r="A188" s="24">
        <v>1</v>
      </c>
      <c r="B188" s="1"/>
      <c r="C188" s="1" t="s">
        <v>392</v>
      </c>
      <c r="D188" s="1">
        <v>900.2</v>
      </c>
      <c r="E188" s="61">
        <v>12</v>
      </c>
      <c r="F188" s="1">
        <f>TobComp[[#This Row],[Number of Retailers in County]]/TobComp[[#This Row],[County Land Mass (mi^2)]]</f>
        <v>1.3330371028660297E-2</v>
      </c>
      <c r="G188" s="2"/>
      <c r="H188" s="62">
        <f>TobComp[[#This Row],[Retail Density of County]]*48</f>
        <v>0.63985780937569425</v>
      </c>
      <c r="I188" s="1">
        <f>IF(TobComp[[#This Row],[Density * 48/weeks]] &lt;=0.5, 1, IF(TobComp[[#This Row],[Density * 48/weeks]] &lt;=2.5, 2, IF(TobComp[[#This Row],[Density * 48/weeks]] &lt;=40, 3, 4)))</f>
        <v>2</v>
      </c>
      <c r="J188" s="1">
        <f>IF(TobComp[[#This Row],[Density * 48/weeks]] &lt;=0.5, $O$2, IF(TobComp[[#This Row],[Density * 48/weeks]] &lt;=2.5, $O$3, IF(TobComp[[#This Row],[Density * 48/weeks]] &lt;=40, $O$4, $O$5)))</f>
        <v>25</v>
      </c>
    </row>
    <row r="189" spans="1:10" x14ac:dyDescent="0.2">
      <c r="A189" s="24">
        <v>7</v>
      </c>
      <c r="B189" s="1"/>
      <c r="C189" s="1" t="s">
        <v>393</v>
      </c>
      <c r="D189" s="1">
        <v>1135.3</v>
      </c>
      <c r="E189" s="61">
        <v>15</v>
      </c>
      <c r="F189" s="1">
        <f>TobComp[[#This Row],[Number of Retailers in County]]/TobComp[[#This Row],[County Land Mass (mi^2)]]</f>
        <v>1.3212366775301684E-2</v>
      </c>
      <c r="G189" s="2"/>
      <c r="H189" s="62">
        <f>TobComp[[#This Row],[Retail Density of County]]*48</f>
        <v>0.63419360521448076</v>
      </c>
      <c r="I189" s="1">
        <f>IF(TobComp[[#This Row],[Density * 48/weeks]] &lt;=0.5, 1, IF(TobComp[[#This Row],[Density * 48/weeks]] &lt;=2.5, 2, IF(TobComp[[#This Row],[Density * 48/weeks]] &lt;=40, 3, 4)))</f>
        <v>2</v>
      </c>
      <c r="J189" s="1">
        <f>IF(TobComp[[#This Row],[Density * 48/weeks]] &lt;=0.5, $O$2, IF(TobComp[[#This Row],[Density * 48/weeks]] &lt;=2.5, $O$3, IF(TobComp[[#This Row],[Density * 48/weeks]] &lt;=40, $O$4, $O$5)))</f>
        <v>25</v>
      </c>
    </row>
    <row r="190" spans="1:10" x14ac:dyDescent="0.2">
      <c r="A190" s="24">
        <v>9</v>
      </c>
      <c r="B190" s="1"/>
      <c r="C190" s="1" t="s">
        <v>394</v>
      </c>
      <c r="D190" s="1">
        <v>1065.5999999999999</v>
      </c>
      <c r="E190" s="61">
        <v>14</v>
      </c>
      <c r="F190" s="1">
        <f>TobComp[[#This Row],[Number of Retailers in County]]/TobComp[[#This Row],[County Land Mass (mi^2)]]</f>
        <v>1.3138138138138139E-2</v>
      </c>
      <c r="G190" s="2"/>
      <c r="H190" s="62">
        <f>TobComp[[#This Row],[Retail Density of County]]*48</f>
        <v>0.63063063063063063</v>
      </c>
      <c r="I190" s="1">
        <f>IF(TobComp[[#This Row],[Density * 48/weeks]] &lt;=0.5, 1, IF(TobComp[[#This Row],[Density * 48/weeks]] &lt;=2.5, 2, IF(TobComp[[#This Row],[Density * 48/weeks]] &lt;=40, 3, 4)))</f>
        <v>2</v>
      </c>
      <c r="J190" s="1">
        <f>IF(TobComp[[#This Row],[Density * 48/weeks]] &lt;=0.5, $O$2, IF(TobComp[[#This Row],[Density * 48/weeks]] &lt;=2.5, $O$3, IF(TobComp[[#This Row],[Density * 48/weeks]] &lt;=40, $O$4, $O$5)))</f>
        <v>25</v>
      </c>
    </row>
    <row r="191" spans="1:10" x14ac:dyDescent="0.2">
      <c r="A191" s="24">
        <v>1</v>
      </c>
      <c r="B191" s="1"/>
      <c r="C191" s="1" t="s">
        <v>395</v>
      </c>
      <c r="D191" s="1">
        <v>920.2</v>
      </c>
      <c r="E191" s="61">
        <v>12</v>
      </c>
      <c r="F191" s="1">
        <f>TobComp[[#This Row],[Number of Retailers in County]]/TobComp[[#This Row],[County Land Mass (mi^2)]]</f>
        <v>1.3040643338404694E-2</v>
      </c>
      <c r="G191" s="2"/>
      <c r="H191" s="62">
        <f>TobComp[[#This Row],[Retail Density of County]]*48</f>
        <v>0.62595088024342527</v>
      </c>
      <c r="I191" s="1">
        <f>IF(TobComp[[#This Row],[Density * 48/weeks]] &lt;=0.5, 1, IF(TobComp[[#This Row],[Density * 48/weeks]] &lt;=2.5, 2, IF(TobComp[[#This Row],[Density * 48/weeks]] &lt;=40, 3, 4)))</f>
        <v>2</v>
      </c>
      <c r="J191" s="1">
        <f>IF(TobComp[[#This Row],[Density * 48/weeks]] &lt;=0.5, $O$2, IF(TobComp[[#This Row],[Density * 48/weeks]] &lt;=2.5, $O$3, IF(TobComp[[#This Row],[Density * 48/weeks]] &lt;=40, $O$4, $O$5)))</f>
        <v>25</v>
      </c>
    </row>
    <row r="192" spans="1:10" x14ac:dyDescent="0.2">
      <c r="A192" s="24">
        <v>8</v>
      </c>
      <c r="B192" s="1"/>
      <c r="C192" s="1" t="s">
        <v>396</v>
      </c>
      <c r="D192" s="1">
        <v>3144.8</v>
      </c>
      <c r="E192" s="61">
        <v>41</v>
      </c>
      <c r="F192" s="1">
        <f>TobComp[[#This Row],[Number of Retailers in County]]/TobComp[[#This Row],[County Land Mass (mi^2)]]</f>
        <v>1.3037395064868989E-2</v>
      </c>
      <c r="G192" s="2"/>
      <c r="H192" s="62">
        <f>TobComp[[#This Row],[Retail Density of County]]*48</f>
        <v>0.62579496311371141</v>
      </c>
      <c r="I192" s="1">
        <f>IF(TobComp[[#This Row],[Density * 48/weeks]] &lt;=0.5, 1, IF(TobComp[[#This Row],[Density * 48/weeks]] &lt;=2.5, 2, IF(TobComp[[#This Row],[Density * 48/weeks]] &lt;=40, 3, 4)))</f>
        <v>2</v>
      </c>
      <c r="J192" s="1">
        <f>IF(TobComp[[#This Row],[Density * 48/weeks]] &lt;=0.5, $O$2, IF(TobComp[[#This Row],[Density * 48/weeks]] &lt;=2.5, $O$3, IF(TobComp[[#This Row],[Density * 48/weeks]] &lt;=40, $O$4, $O$5)))</f>
        <v>25</v>
      </c>
    </row>
    <row r="193" spans="1:10" x14ac:dyDescent="0.2">
      <c r="A193" s="24">
        <v>2</v>
      </c>
      <c r="B193" s="1"/>
      <c r="C193" s="1" t="s">
        <v>397</v>
      </c>
      <c r="D193" s="1">
        <v>695.1</v>
      </c>
      <c r="E193" s="61">
        <v>9</v>
      </c>
      <c r="F193" s="1">
        <f>TobComp[[#This Row],[Number of Retailers in County]]/TobComp[[#This Row],[County Land Mass (mi^2)]]</f>
        <v>1.294777729823047E-2</v>
      </c>
      <c r="G193" s="2"/>
      <c r="H193" s="62">
        <f>TobComp[[#This Row],[Retail Density of County]]*48</f>
        <v>0.62149331031506261</v>
      </c>
      <c r="I193" s="1">
        <f>IF(TobComp[[#This Row],[Density * 48/weeks]] &lt;=0.5, 1, IF(TobComp[[#This Row],[Density * 48/weeks]] &lt;=2.5, 2, IF(TobComp[[#This Row],[Density * 48/weeks]] &lt;=40, 3, 4)))</f>
        <v>2</v>
      </c>
      <c r="J193" s="1">
        <f>IF(TobComp[[#This Row],[Density * 48/weeks]] &lt;=0.5, $O$2, IF(TobComp[[#This Row],[Density * 48/weeks]] &lt;=2.5, $O$3, IF(TobComp[[#This Row],[Density * 48/weeks]] &lt;=40, $O$4, $O$5)))</f>
        <v>25</v>
      </c>
    </row>
    <row r="194" spans="1:10" x14ac:dyDescent="0.2">
      <c r="A194" s="24">
        <v>2</v>
      </c>
      <c r="B194" s="1"/>
      <c r="C194" s="1" t="s">
        <v>398</v>
      </c>
      <c r="D194" s="1">
        <v>850.6</v>
      </c>
      <c r="E194" s="61">
        <v>11</v>
      </c>
      <c r="F194" s="1">
        <f>TobComp[[#This Row],[Number of Retailers in County]]/TobComp[[#This Row],[County Land Mass (mi^2)]]</f>
        <v>1.2932047966141547E-2</v>
      </c>
      <c r="G194" s="2"/>
      <c r="H194" s="62">
        <f>TobComp[[#This Row],[Retail Density of County]]*48</f>
        <v>0.62073830237479433</v>
      </c>
      <c r="I194" s="1">
        <f>IF(TobComp[[#This Row],[Density * 48/weeks]] &lt;=0.5, 1, IF(TobComp[[#This Row],[Density * 48/weeks]] &lt;=2.5, 2, IF(TobComp[[#This Row],[Density * 48/weeks]] &lt;=40, 3, 4)))</f>
        <v>2</v>
      </c>
      <c r="J194" s="1">
        <f>IF(TobComp[[#This Row],[Density * 48/weeks]] &lt;=0.5, $O$2, IF(TobComp[[#This Row],[Density * 48/weeks]] &lt;=2.5, $O$3, IF(TobComp[[#This Row],[Density * 48/weeks]] &lt;=40, $O$4, $O$5)))</f>
        <v>25</v>
      </c>
    </row>
    <row r="195" spans="1:10" x14ac:dyDescent="0.2">
      <c r="A195" s="24">
        <v>1</v>
      </c>
      <c r="B195" s="1"/>
      <c r="C195" s="1" t="s">
        <v>399</v>
      </c>
      <c r="D195" s="1">
        <v>894.4</v>
      </c>
      <c r="E195" s="61">
        <v>11</v>
      </c>
      <c r="F195" s="1">
        <f>TobComp[[#This Row],[Number of Retailers in County]]/TobComp[[#This Row],[County Land Mass (mi^2)]]</f>
        <v>1.2298747763864044E-2</v>
      </c>
      <c r="G195" s="2"/>
      <c r="H195" s="62">
        <f>TobComp[[#This Row],[Retail Density of County]]*48</f>
        <v>0.59033989266547415</v>
      </c>
      <c r="I195" s="1">
        <f>IF(TobComp[[#This Row],[Density * 48/weeks]] &lt;=0.5, 1, IF(TobComp[[#This Row],[Density * 48/weeks]] &lt;=2.5, 2, IF(TobComp[[#This Row],[Density * 48/weeks]] &lt;=40, 3, 4)))</f>
        <v>2</v>
      </c>
      <c r="J195" s="1">
        <f>IF(TobComp[[#This Row],[Density * 48/weeks]] &lt;=0.5, $O$2, IF(TobComp[[#This Row],[Density * 48/weeks]] &lt;=2.5, $O$3, IF(TobComp[[#This Row],[Density * 48/weeks]] &lt;=40, $O$4, $O$5)))</f>
        <v>25</v>
      </c>
    </row>
    <row r="196" spans="1:10" x14ac:dyDescent="0.2">
      <c r="A196" s="24">
        <v>9</v>
      </c>
      <c r="B196" s="1"/>
      <c r="C196" s="1" t="s">
        <v>400</v>
      </c>
      <c r="D196" s="1">
        <v>785.1</v>
      </c>
      <c r="E196" s="61">
        <v>9</v>
      </c>
      <c r="F196" s="1">
        <f>TobComp[[#This Row],[Number of Retailers in County]]/TobComp[[#This Row],[County Land Mass (mi^2)]]</f>
        <v>1.1463507833397019E-2</v>
      </c>
      <c r="G196" s="2"/>
      <c r="H196" s="62">
        <f>TobComp[[#This Row],[Retail Density of County]]*48</f>
        <v>0.55024837600305698</v>
      </c>
      <c r="I196" s="1">
        <f>IF(TobComp[[#This Row],[Density * 48/weeks]] &lt;=0.5, 1, IF(TobComp[[#This Row],[Density * 48/weeks]] &lt;=2.5, 2, IF(TobComp[[#This Row],[Density * 48/weeks]] &lt;=40, 3, 4)))</f>
        <v>2</v>
      </c>
      <c r="J196" s="1">
        <f>IF(TobComp[[#This Row],[Density * 48/weeks]] &lt;=0.5, $O$2, IF(TobComp[[#This Row],[Density * 48/weeks]] &lt;=2.5, $O$3, IF(TobComp[[#This Row],[Density * 48/weeks]] &lt;=40, $O$4, $O$5)))</f>
        <v>25</v>
      </c>
    </row>
    <row r="197" spans="1:10" x14ac:dyDescent="0.2">
      <c r="A197" s="24">
        <v>1</v>
      </c>
      <c r="B197" s="1"/>
      <c r="C197" s="1" t="s">
        <v>401</v>
      </c>
      <c r="D197" s="1">
        <v>883.5</v>
      </c>
      <c r="E197" s="61">
        <v>10</v>
      </c>
      <c r="F197" s="1">
        <f>TobComp[[#This Row],[Number of Retailers in County]]/TobComp[[#This Row],[County Land Mass (mi^2)]]</f>
        <v>1.1318619128466326E-2</v>
      </c>
      <c r="G197" s="2"/>
      <c r="H197" s="62">
        <f>TobComp[[#This Row],[Retail Density of County]]*48</f>
        <v>0.54329371816638372</v>
      </c>
      <c r="I197" s="1">
        <f>IF(TobComp[[#This Row],[Density * 48/weeks]] &lt;=0.5, 1, IF(TobComp[[#This Row],[Density * 48/weeks]] &lt;=2.5, 2, IF(TobComp[[#This Row],[Density * 48/weeks]] &lt;=40, 3, 4)))</f>
        <v>2</v>
      </c>
      <c r="J197" s="1">
        <f>IF(TobComp[[#This Row],[Density * 48/weeks]] &lt;=0.5, $O$2, IF(TobComp[[#This Row],[Density * 48/weeks]] &lt;=2.5, $O$3, IF(TobComp[[#This Row],[Density * 48/weeks]] &lt;=40, $O$4, $O$5)))</f>
        <v>25</v>
      </c>
    </row>
    <row r="198" spans="1:10" x14ac:dyDescent="0.2">
      <c r="A198" s="24">
        <v>1</v>
      </c>
      <c r="B198" s="1"/>
      <c r="C198" s="1" t="s">
        <v>402</v>
      </c>
      <c r="D198" s="1">
        <v>893.4</v>
      </c>
      <c r="E198" s="61">
        <v>10</v>
      </c>
      <c r="F198" s="1">
        <f>TobComp[[#This Row],[Number of Retailers in County]]/TobComp[[#This Row],[County Land Mass (mi^2)]]</f>
        <v>1.1193194537721066E-2</v>
      </c>
      <c r="G198" s="2"/>
      <c r="H198" s="62">
        <f>TobComp[[#This Row],[Retail Density of County]]*48</f>
        <v>0.53727333781061115</v>
      </c>
      <c r="I198" s="1">
        <f>IF(TobComp[[#This Row],[Density * 48/weeks]] &lt;=0.5, 1, IF(TobComp[[#This Row],[Density * 48/weeks]] &lt;=2.5, 2, IF(TobComp[[#This Row],[Density * 48/weeks]] &lt;=40, 3, 4)))</f>
        <v>2</v>
      </c>
      <c r="J198" s="1">
        <f>IF(TobComp[[#This Row],[Density * 48/weeks]] &lt;=0.5, $O$2, IF(TobComp[[#This Row],[Density * 48/weeks]] &lt;=2.5, $O$3, IF(TobComp[[#This Row],[Density * 48/weeks]] &lt;=40, $O$4, $O$5)))</f>
        <v>25</v>
      </c>
    </row>
    <row r="199" spans="1:10" x14ac:dyDescent="0.2">
      <c r="A199" s="24">
        <v>9</v>
      </c>
      <c r="B199" s="1"/>
      <c r="C199" s="1" t="s">
        <v>403</v>
      </c>
      <c r="D199" s="1">
        <v>983.8</v>
      </c>
      <c r="E199" s="61">
        <v>11</v>
      </c>
      <c r="F199" s="1">
        <f>TobComp[[#This Row],[Number of Retailers in County]]/TobComp[[#This Row],[County Land Mass (mi^2)]]</f>
        <v>1.1181134376905875E-2</v>
      </c>
      <c r="G199" s="2"/>
      <c r="H199" s="62">
        <f>TobComp[[#This Row],[Retail Density of County]]*48</f>
        <v>0.53669445009148198</v>
      </c>
      <c r="I199" s="1">
        <f>IF(TobComp[[#This Row],[Density * 48/weeks]] &lt;=0.5, 1, IF(TobComp[[#This Row],[Density * 48/weeks]] &lt;=2.5, 2, IF(TobComp[[#This Row],[Density * 48/weeks]] &lt;=40, 3, 4)))</f>
        <v>2</v>
      </c>
      <c r="J199" s="1">
        <f>IF(TobComp[[#This Row],[Density * 48/weeks]] &lt;=0.5, $O$2, IF(TobComp[[#This Row],[Density * 48/weeks]] &lt;=2.5, $O$3, IF(TobComp[[#This Row],[Density * 48/weeks]] &lt;=40, $O$4, $O$5)))</f>
        <v>25</v>
      </c>
    </row>
    <row r="200" spans="1:10" x14ac:dyDescent="0.2">
      <c r="A200" s="24">
        <v>11</v>
      </c>
      <c r="B200" s="1"/>
      <c r="C200" s="1" t="s">
        <v>404</v>
      </c>
      <c r="D200" s="1">
        <v>1793.5</v>
      </c>
      <c r="E200" s="61">
        <v>20</v>
      </c>
      <c r="F200" s="1">
        <f>TobComp[[#This Row],[Number of Retailers in County]]/TobComp[[#This Row],[County Land Mass (mi^2)]]</f>
        <v>1.115137998327293E-2</v>
      </c>
      <c r="G200" s="2"/>
      <c r="H200" s="62">
        <f>TobComp[[#This Row],[Retail Density of County]]*48</f>
        <v>0.53526623919710059</v>
      </c>
      <c r="I200" s="1">
        <f>IF(TobComp[[#This Row],[Density * 48/weeks]] &lt;=0.5, 1, IF(TobComp[[#This Row],[Density * 48/weeks]] &lt;=2.5, 2, IF(TobComp[[#This Row],[Density * 48/weeks]] &lt;=40, 3, 4)))</f>
        <v>2</v>
      </c>
      <c r="J200" s="1">
        <f>IF(TobComp[[#This Row],[Density * 48/weeks]] &lt;=0.5, $O$2, IF(TobComp[[#This Row],[Density * 48/weeks]] &lt;=2.5, $O$3, IF(TobComp[[#This Row],[Density * 48/weeks]] &lt;=40, $O$4, $O$5)))</f>
        <v>25</v>
      </c>
    </row>
    <row r="201" spans="1:10" x14ac:dyDescent="0.2">
      <c r="A201" s="24">
        <v>11</v>
      </c>
      <c r="B201" s="1"/>
      <c r="C201" s="1" t="s">
        <v>405</v>
      </c>
      <c r="D201" s="1">
        <v>1136.2</v>
      </c>
      <c r="E201" s="61">
        <v>12</v>
      </c>
      <c r="F201" s="1">
        <f>TobComp[[#This Row],[Number of Retailers in County]]/TobComp[[#This Row],[County Land Mass (mi^2)]]</f>
        <v>1.0561520859003696E-2</v>
      </c>
      <c r="G201" s="2"/>
      <c r="H201" s="62">
        <f>TobComp[[#This Row],[Retail Density of County]]*48</f>
        <v>0.50695300123217746</v>
      </c>
      <c r="I201" s="1">
        <f>IF(TobComp[[#This Row],[Density * 48/weeks]] &lt;=0.5, 1, IF(TobComp[[#This Row],[Density * 48/weeks]] &lt;=2.5, 2, IF(TobComp[[#This Row],[Density * 48/weeks]] &lt;=40, 3, 4)))</f>
        <v>2</v>
      </c>
      <c r="J201" s="1">
        <f>IF(TobComp[[#This Row],[Density * 48/weeks]] &lt;=0.5, $O$2, IF(TobComp[[#This Row],[Density * 48/weeks]] &lt;=2.5, $O$3, IF(TobComp[[#This Row],[Density * 48/weeks]] &lt;=40, $O$4, $O$5)))</f>
        <v>25</v>
      </c>
    </row>
    <row r="202" spans="1:10" x14ac:dyDescent="0.2">
      <c r="A202" s="24">
        <v>9</v>
      </c>
      <c r="B202" s="1"/>
      <c r="C202" s="1" t="s">
        <v>406</v>
      </c>
      <c r="D202" s="1">
        <v>1453.9</v>
      </c>
      <c r="E202" s="61">
        <v>15</v>
      </c>
      <c r="F202" s="1">
        <f>TobComp[[#This Row],[Number of Retailers in County]]/TobComp[[#This Row],[County Land Mass (mi^2)]]</f>
        <v>1.0317078203452781E-2</v>
      </c>
      <c r="G202" s="2"/>
      <c r="H202" s="62">
        <f>TobComp[[#This Row],[Retail Density of County]]*48</f>
        <v>0.49521975376573346</v>
      </c>
      <c r="I202" s="1">
        <f>IF(TobComp[[#This Row],[Density * 48/weeks]] &lt;=0.5, 1, IF(TobComp[[#This Row],[Density * 48/weeks]] &lt;=2.5, 2, IF(TobComp[[#This Row],[Density * 48/weeks]] &lt;=40, 3, 4)))</f>
        <v>1</v>
      </c>
      <c r="J202" s="1">
        <f>IF(TobComp[[#This Row],[Density * 48/weeks]] &lt;=0.5, $O$2, IF(TobComp[[#This Row],[Density * 48/weeks]] &lt;=2.5, $O$3, IF(TobComp[[#This Row],[Density * 48/weeks]] &lt;=40, $O$4, $O$5)))</f>
        <v>10</v>
      </c>
    </row>
    <row r="203" spans="1:10" x14ac:dyDescent="0.2">
      <c r="A203" s="24">
        <v>1</v>
      </c>
      <c r="B203" s="1"/>
      <c r="C203" s="1" t="s">
        <v>407</v>
      </c>
      <c r="D203" s="1">
        <v>890.2</v>
      </c>
      <c r="E203" s="61">
        <v>9</v>
      </c>
      <c r="F203" s="1">
        <f>TobComp[[#This Row],[Number of Retailers in County]]/TobComp[[#This Row],[County Land Mass (mi^2)]]</f>
        <v>1.011008762075938E-2</v>
      </c>
      <c r="G203" s="2"/>
      <c r="H203" s="62">
        <f>TobComp[[#This Row],[Retail Density of County]]*48</f>
        <v>0.48528420579645026</v>
      </c>
      <c r="I203" s="1">
        <f>IF(TobComp[[#This Row],[Density * 48/weeks]] &lt;=0.5, 1, IF(TobComp[[#This Row],[Density * 48/weeks]] &lt;=2.5, 2, IF(TobComp[[#This Row],[Density * 48/weeks]] &lt;=40, 3, 4)))</f>
        <v>1</v>
      </c>
      <c r="J203" s="1">
        <f>IF(TobComp[[#This Row],[Density * 48/weeks]] &lt;=0.5, $O$2, IF(TobComp[[#This Row],[Density * 48/weeks]] &lt;=2.5, $O$3, IF(TobComp[[#This Row],[Density * 48/weeks]] &lt;=40, $O$4, $O$5)))</f>
        <v>10</v>
      </c>
    </row>
    <row r="204" spans="1:10" x14ac:dyDescent="0.2">
      <c r="A204" s="24">
        <v>2</v>
      </c>
      <c r="B204" s="1"/>
      <c r="C204" s="1" t="s">
        <v>408</v>
      </c>
      <c r="D204" s="1">
        <v>899</v>
      </c>
      <c r="E204" s="61">
        <v>9</v>
      </c>
      <c r="F204" s="1">
        <f>TobComp[[#This Row],[Number of Retailers in County]]/TobComp[[#This Row],[County Land Mass (mi^2)]]</f>
        <v>1.0011123470522803E-2</v>
      </c>
      <c r="G204" s="2"/>
      <c r="H204" s="62">
        <f>TobComp[[#This Row],[Retail Density of County]]*48</f>
        <v>0.48053392658509453</v>
      </c>
      <c r="I204" s="1">
        <f>IF(TobComp[[#This Row],[Density * 48/weeks]] &lt;=0.5, 1, IF(TobComp[[#This Row],[Density * 48/weeks]] &lt;=2.5, 2, IF(TobComp[[#This Row],[Density * 48/weeks]] &lt;=40, 3, 4)))</f>
        <v>1</v>
      </c>
      <c r="J204" s="1">
        <f>IF(TobComp[[#This Row],[Density * 48/weeks]] &lt;=0.5, $O$2, IF(TobComp[[#This Row],[Density * 48/weeks]] &lt;=2.5, $O$3, IF(TobComp[[#This Row],[Density * 48/weeks]] &lt;=40, $O$4, $O$5)))</f>
        <v>10</v>
      </c>
    </row>
    <row r="205" spans="1:10" x14ac:dyDescent="0.2">
      <c r="A205" s="24">
        <v>9</v>
      </c>
      <c r="B205" s="1"/>
      <c r="C205" s="1" t="s">
        <v>409</v>
      </c>
      <c r="D205" s="1">
        <v>915</v>
      </c>
      <c r="E205" s="61">
        <v>9</v>
      </c>
      <c r="F205" s="1">
        <f>TobComp[[#This Row],[Number of Retailers in County]]/TobComp[[#This Row],[County Land Mass (mi^2)]]</f>
        <v>9.8360655737704927E-3</v>
      </c>
      <c r="G205" s="2"/>
      <c r="H205" s="62">
        <f>TobComp[[#This Row],[Retail Density of County]]*48</f>
        <v>0.47213114754098362</v>
      </c>
      <c r="I205" s="1">
        <f>IF(TobComp[[#This Row],[Density * 48/weeks]] &lt;=0.5, 1, IF(TobComp[[#This Row],[Density * 48/weeks]] &lt;=2.5, 2, IF(TobComp[[#This Row],[Density * 48/weeks]] &lt;=40, 3, 4)))</f>
        <v>1</v>
      </c>
      <c r="J205" s="1">
        <f>IF(TobComp[[#This Row],[Density * 48/weeks]] &lt;=0.5, $O$2, IF(TobComp[[#This Row],[Density * 48/weeks]] &lt;=2.5, $O$3, IF(TobComp[[#This Row],[Density * 48/weeks]] &lt;=40, $O$4, $O$5)))</f>
        <v>10</v>
      </c>
    </row>
    <row r="206" spans="1:10" x14ac:dyDescent="0.2">
      <c r="A206" s="24">
        <v>1</v>
      </c>
      <c r="B206" s="1"/>
      <c r="C206" s="1" t="s">
        <v>410</v>
      </c>
      <c r="D206" s="1">
        <v>926.9</v>
      </c>
      <c r="E206" s="61">
        <v>9</v>
      </c>
      <c r="F206" s="1">
        <f>TobComp[[#This Row],[Number of Retailers in County]]/TobComp[[#This Row],[County Land Mass (mi^2)]]</f>
        <v>9.7097853058582366E-3</v>
      </c>
      <c r="G206" s="2"/>
      <c r="H206" s="62">
        <f>TobComp[[#This Row],[Retail Density of County]]*48</f>
        <v>0.46606969468119536</v>
      </c>
      <c r="I206" s="1">
        <f>IF(TobComp[[#This Row],[Density * 48/weeks]] &lt;=0.5, 1, IF(TobComp[[#This Row],[Density * 48/weeks]] &lt;=2.5, 2, IF(TobComp[[#This Row],[Density * 48/weeks]] &lt;=40, 3, 4)))</f>
        <v>1</v>
      </c>
      <c r="J206" s="1">
        <f>IF(TobComp[[#This Row],[Density * 48/weeks]] &lt;=0.5, $O$2, IF(TobComp[[#This Row],[Density * 48/weeks]] &lt;=2.5, $O$3, IF(TobComp[[#This Row],[Density * 48/weeks]] &lt;=40, $O$4, $O$5)))</f>
        <v>10</v>
      </c>
    </row>
    <row r="207" spans="1:10" x14ac:dyDescent="0.2">
      <c r="A207" s="24">
        <v>8</v>
      </c>
      <c r="B207" s="1"/>
      <c r="C207" s="1" t="s">
        <v>411</v>
      </c>
      <c r="D207" s="1">
        <v>852</v>
      </c>
      <c r="E207" s="61">
        <v>8</v>
      </c>
      <c r="F207" s="1">
        <f>TobComp[[#This Row],[Number of Retailers in County]]/TobComp[[#This Row],[County Land Mass (mi^2)]]</f>
        <v>9.3896713615023476E-3</v>
      </c>
      <c r="G207" s="2"/>
      <c r="H207" s="62">
        <f>TobComp[[#This Row],[Retail Density of County]]*48</f>
        <v>0.45070422535211269</v>
      </c>
      <c r="I207" s="1">
        <f>IF(TobComp[[#This Row],[Density * 48/weeks]] &lt;=0.5, 1, IF(TobComp[[#This Row],[Density * 48/weeks]] &lt;=2.5, 2, IF(TobComp[[#This Row],[Density * 48/weeks]] &lt;=40, 3, 4)))</f>
        <v>1</v>
      </c>
      <c r="J207" s="1">
        <f>IF(TobComp[[#This Row],[Density * 48/weeks]] &lt;=0.5, $O$2, IF(TobComp[[#This Row],[Density * 48/weeks]] &lt;=2.5, $O$3, IF(TobComp[[#This Row],[Density * 48/weeks]] &lt;=40, $O$4, $O$5)))</f>
        <v>10</v>
      </c>
    </row>
    <row r="208" spans="1:10" x14ac:dyDescent="0.2">
      <c r="A208" s="24">
        <v>2</v>
      </c>
      <c r="B208" s="1"/>
      <c r="C208" s="1" t="s">
        <v>412</v>
      </c>
      <c r="D208" s="1">
        <v>867.5</v>
      </c>
      <c r="E208" s="61">
        <v>8</v>
      </c>
      <c r="F208" s="1">
        <f>TobComp[[#This Row],[Number of Retailers in County]]/TobComp[[#This Row],[County Land Mass (mi^2)]]</f>
        <v>9.2219020172910667E-3</v>
      </c>
      <c r="G208" s="2"/>
      <c r="H208" s="62">
        <f>TobComp[[#This Row],[Retail Density of County]]*48</f>
        <v>0.44265129682997117</v>
      </c>
      <c r="I208" s="1">
        <f>IF(TobComp[[#This Row],[Density * 48/weeks]] &lt;=0.5, 1, IF(TobComp[[#This Row],[Density * 48/weeks]] &lt;=2.5, 2, IF(TobComp[[#This Row],[Density * 48/weeks]] &lt;=40, 3, 4)))</f>
        <v>1</v>
      </c>
      <c r="J208" s="1">
        <f>IF(TobComp[[#This Row],[Density * 48/weeks]] &lt;=0.5, $O$2, IF(TobComp[[#This Row],[Density * 48/weeks]] &lt;=2.5, $O$3, IF(TobComp[[#This Row],[Density * 48/weeks]] &lt;=40, $O$4, $O$5)))</f>
        <v>10</v>
      </c>
    </row>
    <row r="209" spans="1:10" x14ac:dyDescent="0.2">
      <c r="A209" s="24">
        <v>1</v>
      </c>
      <c r="B209" s="1"/>
      <c r="C209" s="1" t="s">
        <v>413</v>
      </c>
      <c r="D209" s="1">
        <v>992.1</v>
      </c>
      <c r="E209" s="61">
        <v>9</v>
      </c>
      <c r="F209" s="1">
        <f>TobComp[[#This Row],[Number of Retailers in County]]/TobComp[[#This Row],[County Land Mass (mi^2)]]</f>
        <v>9.0716661626852133E-3</v>
      </c>
      <c r="G209" s="2"/>
      <c r="H209" s="62">
        <f>TobComp[[#This Row],[Retail Density of County]]*48</f>
        <v>0.43543997580889027</v>
      </c>
      <c r="I209" s="1">
        <f>IF(TobComp[[#This Row],[Density * 48/weeks]] &lt;=0.5, 1, IF(TobComp[[#This Row],[Density * 48/weeks]] &lt;=2.5, 2, IF(TobComp[[#This Row],[Density * 48/weeks]] &lt;=40, 3, 4)))</f>
        <v>1</v>
      </c>
      <c r="J209" s="1">
        <f>IF(TobComp[[#This Row],[Density * 48/weeks]] &lt;=0.5, $O$2, IF(TobComp[[#This Row],[Density * 48/weeks]] &lt;=2.5, $O$3, IF(TobComp[[#This Row],[Density * 48/weeks]] &lt;=40, $O$4, $O$5)))</f>
        <v>10</v>
      </c>
    </row>
    <row r="210" spans="1:10" x14ac:dyDescent="0.2">
      <c r="A210" s="24">
        <v>1</v>
      </c>
      <c r="B210" s="1"/>
      <c r="C210" s="1" t="s">
        <v>414</v>
      </c>
      <c r="D210" s="1">
        <v>891.9</v>
      </c>
      <c r="E210" s="61">
        <v>8</v>
      </c>
      <c r="F210" s="1">
        <f>TobComp[[#This Row],[Number of Retailers in County]]/TobComp[[#This Row],[County Land Mass (mi^2)]]</f>
        <v>8.9696154277385358E-3</v>
      </c>
      <c r="G210" s="2"/>
      <c r="H210" s="62">
        <f>TobComp[[#This Row],[Retail Density of County]]*48</f>
        <v>0.43054154053144972</v>
      </c>
      <c r="I210" s="1">
        <f>IF(TobComp[[#This Row],[Density * 48/weeks]] &lt;=0.5, 1, IF(TobComp[[#This Row],[Density * 48/weeks]] &lt;=2.5, 2, IF(TobComp[[#This Row],[Density * 48/weeks]] &lt;=40, 3, 4)))</f>
        <v>1</v>
      </c>
      <c r="J210" s="1">
        <f>IF(TobComp[[#This Row],[Density * 48/weeks]] &lt;=0.5, $O$2, IF(TobComp[[#This Row],[Density * 48/weeks]] &lt;=2.5, $O$3, IF(TobComp[[#This Row],[Density * 48/weeks]] &lt;=40, $O$4, $O$5)))</f>
        <v>10</v>
      </c>
    </row>
    <row r="211" spans="1:10" x14ac:dyDescent="0.2">
      <c r="A211" s="24">
        <v>9</v>
      </c>
      <c r="B211" s="1"/>
      <c r="C211" s="1" t="s">
        <v>415</v>
      </c>
      <c r="D211" s="1">
        <v>1241.3</v>
      </c>
      <c r="E211" s="61">
        <v>11</v>
      </c>
      <c r="F211" s="1">
        <f>TobComp[[#This Row],[Number of Retailers in County]]/TobComp[[#This Row],[County Land Mass (mi^2)]]</f>
        <v>8.8616772738258284E-3</v>
      </c>
      <c r="G211" s="2"/>
      <c r="H211" s="62">
        <f>TobComp[[#This Row],[Retail Density of County]]*48</f>
        <v>0.42536050914363976</v>
      </c>
      <c r="I211" s="1">
        <f>IF(TobComp[[#This Row],[Density * 48/weeks]] &lt;=0.5, 1, IF(TobComp[[#This Row],[Density * 48/weeks]] &lt;=2.5, 2, IF(TobComp[[#This Row],[Density * 48/weeks]] &lt;=40, 3, 4)))</f>
        <v>1</v>
      </c>
      <c r="J211" s="1">
        <f>IF(TobComp[[#This Row],[Density * 48/weeks]] &lt;=0.5, $O$2, IF(TobComp[[#This Row],[Density * 48/weeks]] &lt;=2.5, $O$3, IF(TobComp[[#This Row],[Density * 48/weeks]] &lt;=40, $O$4, $O$5)))</f>
        <v>10</v>
      </c>
    </row>
    <row r="212" spans="1:10" x14ac:dyDescent="0.2">
      <c r="A212" s="24">
        <v>9</v>
      </c>
      <c r="B212" s="1"/>
      <c r="C212" s="1" t="s">
        <v>416</v>
      </c>
      <c r="D212" s="1">
        <v>928.8</v>
      </c>
      <c r="E212" s="61">
        <v>8</v>
      </c>
      <c r="F212" s="1">
        <f>TobComp[[#This Row],[Number of Retailers in County]]/TobComp[[#This Row],[County Land Mass (mi^2)]]</f>
        <v>8.6132644272179162E-3</v>
      </c>
      <c r="G212" s="2"/>
      <c r="H212" s="62">
        <f>TobComp[[#This Row],[Retail Density of County]]*48</f>
        <v>0.41343669250645998</v>
      </c>
      <c r="I212" s="1">
        <f>IF(TobComp[[#This Row],[Density * 48/weeks]] &lt;=0.5, 1, IF(TobComp[[#This Row],[Density * 48/weeks]] &lt;=2.5, 2, IF(TobComp[[#This Row],[Density * 48/weeks]] &lt;=40, 3, 4)))</f>
        <v>1</v>
      </c>
      <c r="J212" s="1">
        <f>IF(TobComp[[#This Row],[Density * 48/weeks]] &lt;=0.5, $O$2, IF(TobComp[[#This Row],[Density * 48/weeks]] &lt;=2.5, $O$3, IF(TobComp[[#This Row],[Density * 48/weeks]] &lt;=40, $O$4, $O$5)))</f>
        <v>10</v>
      </c>
    </row>
    <row r="213" spans="1:10" x14ac:dyDescent="0.2">
      <c r="A213" s="24">
        <v>9</v>
      </c>
      <c r="B213" s="1"/>
      <c r="C213" s="1" t="s">
        <v>417</v>
      </c>
      <c r="D213" s="1">
        <v>902</v>
      </c>
      <c r="E213" s="61">
        <v>7</v>
      </c>
      <c r="F213" s="1">
        <f>TobComp[[#This Row],[Number of Retailers in County]]/TobComp[[#This Row],[County Land Mass (mi^2)]]</f>
        <v>7.7605321507760536E-3</v>
      </c>
      <c r="G213" s="2"/>
      <c r="H213" s="62">
        <f>TobComp[[#This Row],[Retail Density of County]]*48</f>
        <v>0.3725055432372506</v>
      </c>
      <c r="I213" s="1">
        <f>IF(TobComp[[#This Row],[Density * 48/weeks]] &lt;=0.5, 1, IF(TobComp[[#This Row],[Density * 48/weeks]] &lt;=2.5, 2, IF(TobComp[[#This Row],[Density * 48/weeks]] &lt;=40, 3, 4)))</f>
        <v>1</v>
      </c>
      <c r="J213" s="1">
        <f>IF(TobComp[[#This Row],[Density * 48/weeks]] &lt;=0.5, $O$2, IF(TobComp[[#This Row],[Density * 48/weeks]] &lt;=2.5, $O$3, IF(TobComp[[#This Row],[Density * 48/weeks]] &lt;=40, $O$4, $O$5)))</f>
        <v>10</v>
      </c>
    </row>
    <row r="214" spans="1:10" x14ac:dyDescent="0.2">
      <c r="A214" s="24">
        <v>1</v>
      </c>
      <c r="B214" s="1"/>
      <c r="C214" s="1" t="s">
        <v>418</v>
      </c>
      <c r="D214" s="1">
        <v>775.1</v>
      </c>
      <c r="E214" s="61">
        <v>6</v>
      </c>
      <c r="F214" s="1">
        <f>TobComp[[#This Row],[Number of Retailers in County]]/TobComp[[#This Row],[County Land Mass (mi^2)]]</f>
        <v>7.7409366533350531E-3</v>
      </c>
      <c r="G214" s="2"/>
      <c r="H214" s="62">
        <f>TobComp[[#This Row],[Retail Density of County]]*48</f>
        <v>0.37156495936008255</v>
      </c>
      <c r="I214" s="1">
        <f>IF(TobComp[[#This Row],[Density * 48/weeks]] &lt;=0.5, 1, IF(TobComp[[#This Row],[Density * 48/weeks]] &lt;=2.5, 2, IF(TobComp[[#This Row],[Density * 48/weeks]] &lt;=40, 3, 4)))</f>
        <v>1</v>
      </c>
      <c r="J214" s="1">
        <f>IF(TobComp[[#This Row],[Density * 48/weeks]] &lt;=0.5, $O$2, IF(TobComp[[#This Row],[Density * 48/weeks]] &lt;=2.5, $O$3, IF(TobComp[[#This Row],[Density * 48/weeks]] &lt;=40, $O$4, $O$5)))</f>
        <v>10</v>
      </c>
    </row>
    <row r="215" spans="1:10" x14ac:dyDescent="0.2">
      <c r="A215" s="24">
        <v>1</v>
      </c>
      <c r="B215" s="1"/>
      <c r="C215" s="1" t="s">
        <v>419</v>
      </c>
      <c r="D215" s="1">
        <v>906.3</v>
      </c>
      <c r="E215" s="61">
        <v>7</v>
      </c>
      <c r="F215" s="1">
        <f>TobComp[[#This Row],[Number of Retailers in County]]/TobComp[[#This Row],[County Land Mass (mi^2)]]</f>
        <v>7.723711795211299E-3</v>
      </c>
      <c r="G215" s="2"/>
      <c r="H215" s="62">
        <f>TobComp[[#This Row],[Retail Density of County]]*48</f>
        <v>0.37073816617014232</v>
      </c>
      <c r="I215" s="1">
        <f>IF(TobComp[[#This Row],[Density * 48/weeks]] &lt;=0.5, 1, IF(TobComp[[#This Row],[Density * 48/weeks]] &lt;=2.5, 2, IF(TobComp[[#This Row],[Density * 48/weeks]] &lt;=40, 3, 4)))</f>
        <v>1</v>
      </c>
      <c r="J215" s="1">
        <f>IF(TobComp[[#This Row],[Density * 48/weeks]] &lt;=0.5, $O$2, IF(TobComp[[#This Row],[Density * 48/weeks]] &lt;=2.5, $O$3, IF(TobComp[[#This Row],[Density * 48/weeks]] &lt;=40, $O$4, $O$5)))</f>
        <v>10</v>
      </c>
    </row>
    <row r="216" spans="1:10" x14ac:dyDescent="0.2">
      <c r="A216" s="24">
        <v>9</v>
      </c>
      <c r="B216" s="1"/>
      <c r="C216" s="1" t="s">
        <v>420</v>
      </c>
      <c r="D216" s="1">
        <v>911.7</v>
      </c>
      <c r="E216" s="61">
        <v>7</v>
      </c>
      <c r="F216" s="1">
        <f>TobComp[[#This Row],[Number of Retailers in County]]/TobComp[[#This Row],[County Land Mass (mi^2)]]</f>
        <v>7.6779642426236701E-3</v>
      </c>
      <c r="G216" s="2"/>
      <c r="H216" s="62">
        <f>TobComp[[#This Row],[Retail Density of County]]*48</f>
        <v>0.36854228364593616</v>
      </c>
      <c r="I216" s="1">
        <f>IF(TobComp[[#This Row],[Density * 48/weeks]] &lt;=0.5, 1, IF(TobComp[[#This Row],[Density * 48/weeks]] &lt;=2.5, 2, IF(TobComp[[#This Row],[Density * 48/weeks]] &lt;=40, 3, 4)))</f>
        <v>1</v>
      </c>
      <c r="J216" s="1">
        <f>IF(TobComp[[#This Row],[Density * 48/weeks]] &lt;=0.5, $O$2, IF(TobComp[[#This Row],[Density * 48/weeks]] &lt;=2.5, $O$3, IF(TobComp[[#This Row],[Density * 48/weeks]] &lt;=40, $O$4, $O$5)))</f>
        <v>10</v>
      </c>
    </row>
    <row r="217" spans="1:10" x14ac:dyDescent="0.2">
      <c r="A217" s="24">
        <v>2</v>
      </c>
      <c r="B217" s="1"/>
      <c r="C217" s="1" t="s">
        <v>421</v>
      </c>
      <c r="D217" s="1">
        <v>914.3</v>
      </c>
      <c r="E217" s="61">
        <v>7</v>
      </c>
      <c r="F217" s="1">
        <f>TobComp[[#This Row],[Number of Retailers in County]]/TobComp[[#This Row],[County Land Mass (mi^2)]]</f>
        <v>7.6561303729629224E-3</v>
      </c>
      <c r="G217" s="2"/>
      <c r="H217" s="62">
        <f>TobComp[[#This Row],[Retail Density of County]]*48</f>
        <v>0.36749425790222029</v>
      </c>
      <c r="I217" s="1">
        <f>IF(TobComp[[#This Row],[Density * 48/weeks]] &lt;=0.5, 1, IF(TobComp[[#This Row],[Density * 48/weeks]] &lt;=2.5, 2, IF(TobComp[[#This Row],[Density * 48/weeks]] &lt;=40, 3, 4)))</f>
        <v>1</v>
      </c>
      <c r="J217" s="1">
        <f>IF(TobComp[[#This Row],[Density * 48/weeks]] &lt;=0.5, $O$2, IF(TobComp[[#This Row],[Density * 48/weeks]] &lt;=2.5, $O$3, IF(TobComp[[#This Row],[Density * 48/weeks]] &lt;=40, $O$4, $O$5)))</f>
        <v>10</v>
      </c>
    </row>
    <row r="218" spans="1:10" x14ac:dyDescent="0.2">
      <c r="A218" s="24">
        <v>9</v>
      </c>
      <c r="B218" s="1"/>
      <c r="C218" s="1" t="s">
        <v>422</v>
      </c>
      <c r="D218" s="1">
        <v>4763.8</v>
      </c>
      <c r="E218" s="61">
        <v>35</v>
      </c>
      <c r="F218" s="1">
        <f>TobComp[[#This Row],[Number of Retailers in County]]/TobComp[[#This Row],[County Land Mass (mi^2)]]</f>
        <v>7.3470758638062052E-3</v>
      </c>
      <c r="G218" s="2"/>
      <c r="H218" s="62">
        <f>TobComp[[#This Row],[Retail Density of County]]*48</f>
        <v>0.35265964146269785</v>
      </c>
      <c r="I218" s="1">
        <f>IF(TobComp[[#This Row],[Density * 48/weeks]] &lt;=0.5, 1, IF(TobComp[[#This Row],[Density * 48/weeks]] &lt;=2.5, 2, IF(TobComp[[#This Row],[Density * 48/weeks]] &lt;=40, 3, 4)))</f>
        <v>1</v>
      </c>
      <c r="J218" s="1">
        <f>IF(TobComp[[#This Row],[Density * 48/weeks]] &lt;=0.5, $O$2, IF(TobComp[[#This Row],[Density * 48/weeks]] &lt;=2.5, $O$3, IF(TobComp[[#This Row],[Density * 48/weeks]] &lt;=40, $O$4, $O$5)))</f>
        <v>10</v>
      </c>
    </row>
    <row r="219" spans="1:10" x14ac:dyDescent="0.2">
      <c r="A219" s="24">
        <v>1</v>
      </c>
      <c r="B219" s="1"/>
      <c r="C219" s="1" t="s">
        <v>423</v>
      </c>
      <c r="D219" s="1">
        <v>1503.1</v>
      </c>
      <c r="E219" s="61">
        <v>11</v>
      </c>
      <c r="F219" s="1">
        <f>TobComp[[#This Row],[Number of Retailers in County]]/TobComp[[#This Row],[County Land Mass (mi^2)]]</f>
        <v>7.3182090346616997E-3</v>
      </c>
      <c r="G219" s="2"/>
      <c r="H219" s="62">
        <f>TobComp[[#This Row],[Retail Density of County]]*48</f>
        <v>0.35127403366376159</v>
      </c>
      <c r="I219" s="1">
        <f>IF(TobComp[[#This Row],[Density * 48/weeks]] &lt;=0.5, 1, IF(TobComp[[#This Row],[Density * 48/weeks]] &lt;=2.5, 2, IF(TobComp[[#This Row],[Density * 48/weeks]] &lt;=40, 3, 4)))</f>
        <v>1</v>
      </c>
      <c r="J219" s="1">
        <f>IF(TobComp[[#This Row],[Density * 48/weeks]] &lt;=0.5, $O$2, IF(TobComp[[#This Row],[Density * 48/weeks]] &lt;=2.5, $O$3, IF(TobComp[[#This Row],[Density * 48/weeks]] &lt;=40, $O$4, $O$5)))</f>
        <v>10</v>
      </c>
    </row>
    <row r="220" spans="1:10" x14ac:dyDescent="0.2">
      <c r="A220" s="24">
        <v>9</v>
      </c>
      <c r="B220" s="1"/>
      <c r="C220" s="1" t="s">
        <v>424</v>
      </c>
      <c r="D220" s="1">
        <v>1175.3</v>
      </c>
      <c r="E220" s="61">
        <v>8</v>
      </c>
      <c r="F220" s="1">
        <f>TobComp[[#This Row],[Number of Retailers in County]]/TobComp[[#This Row],[County Land Mass (mi^2)]]</f>
        <v>6.8067727388751807E-3</v>
      </c>
      <c r="G220" s="2"/>
      <c r="H220" s="62">
        <f>TobComp[[#This Row],[Retail Density of County]]*48</f>
        <v>0.3267250914660087</v>
      </c>
      <c r="I220" s="1">
        <f>IF(TobComp[[#This Row],[Density * 48/weeks]] &lt;=0.5, 1, IF(TobComp[[#This Row],[Density * 48/weeks]] &lt;=2.5, 2, IF(TobComp[[#This Row],[Density * 48/weeks]] &lt;=40, 3, 4)))</f>
        <v>1</v>
      </c>
      <c r="J220" s="1">
        <f>IF(TobComp[[#This Row],[Density * 48/weeks]] &lt;=0.5, $O$2, IF(TobComp[[#This Row],[Density * 48/weeks]] &lt;=2.5, $O$3, IF(TobComp[[#This Row],[Density * 48/weeks]] &lt;=40, $O$4, $O$5)))</f>
        <v>10</v>
      </c>
    </row>
    <row r="221" spans="1:10" x14ac:dyDescent="0.2">
      <c r="A221" s="24">
        <v>1</v>
      </c>
      <c r="B221" s="1"/>
      <c r="C221" s="1" t="s">
        <v>425</v>
      </c>
      <c r="D221" s="1">
        <v>919.8</v>
      </c>
      <c r="E221" s="61">
        <v>6</v>
      </c>
      <c r="F221" s="1">
        <f>TobComp[[#This Row],[Number of Retailers in County]]/TobComp[[#This Row],[County Land Mass (mi^2)]]</f>
        <v>6.5231572080887154E-3</v>
      </c>
      <c r="G221" s="2"/>
      <c r="H221" s="62">
        <f>TobComp[[#This Row],[Retail Density of County]]*48</f>
        <v>0.31311154598825836</v>
      </c>
      <c r="I221" s="1">
        <f>IF(TobComp[[#This Row],[Density * 48/weeks]] &lt;=0.5, 1, IF(TobComp[[#This Row],[Density * 48/weeks]] &lt;=2.5, 2, IF(TobComp[[#This Row],[Density * 48/weeks]] &lt;=40, 3, 4)))</f>
        <v>1</v>
      </c>
      <c r="J221" s="1">
        <f>IF(TobComp[[#This Row],[Density * 48/weeks]] &lt;=0.5, $O$2, IF(TobComp[[#This Row],[Density * 48/weeks]] &lt;=2.5, $O$3, IF(TobComp[[#This Row],[Density * 48/weeks]] &lt;=40, $O$4, $O$5)))</f>
        <v>10</v>
      </c>
    </row>
    <row r="222" spans="1:10" x14ac:dyDescent="0.2">
      <c r="A222" s="24">
        <v>1</v>
      </c>
      <c r="B222" s="1"/>
      <c r="C222" s="1" t="s">
        <v>426</v>
      </c>
      <c r="D222" s="1">
        <v>922.9</v>
      </c>
      <c r="E222" s="61">
        <v>6</v>
      </c>
      <c r="F222" s="1">
        <f>TobComp[[#This Row],[Number of Retailers in County]]/TobComp[[#This Row],[County Land Mass (mi^2)]]</f>
        <v>6.5012460721638318E-3</v>
      </c>
      <c r="G222" s="2"/>
      <c r="H222" s="62">
        <f>TobComp[[#This Row],[Retail Density of County]]*48</f>
        <v>0.31205981146386391</v>
      </c>
      <c r="I222" s="1">
        <f>IF(TobComp[[#This Row],[Density * 48/weeks]] &lt;=0.5, 1, IF(TobComp[[#This Row],[Density * 48/weeks]] &lt;=2.5, 2, IF(TobComp[[#This Row],[Density * 48/weeks]] &lt;=40, 3, 4)))</f>
        <v>1</v>
      </c>
      <c r="J222" s="1">
        <f>IF(TobComp[[#This Row],[Density * 48/weeks]] &lt;=0.5, $O$2, IF(TobComp[[#This Row],[Density * 48/weeks]] &lt;=2.5, $O$3, IF(TobComp[[#This Row],[Density * 48/weeks]] &lt;=40, $O$4, $O$5)))</f>
        <v>10</v>
      </c>
    </row>
    <row r="223" spans="1:10" x14ac:dyDescent="0.2">
      <c r="A223" s="24">
        <v>1</v>
      </c>
      <c r="B223" s="1"/>
      <c r="C223" s="1" t="s">
        <v>427</v>
      </c>
      <c r="D223" s="1">
        <v>932.2</v>
      </c>
      <c r="E223" s="61">
        <v>6</v>
      </c>
      <c r="F223" s="1">
        <f>TobComp[[#This Row],[Number of Retailers in County]]/TobComp[[#This Row],[County Land Mass (mi^2)]]</f>
        <v>6.4363870414074226E-3</v>
      </c>
      <c r="G223" s="2"/>
      <c r="H223" s="62">
        <f>TobComp[[#This Row],[Retail Density of County]]*48</f>
        <v>0.30894657798755631</v>
      </c>
      <c r="I223" s="1">
        <f>IF(TobComp[[#This Row],[Density * 48/weeks]] &lt;=0.5, 1, IF(TobComp[[#This Row],[Density * 48/weeks]] &lt;=2.5, 2, IF(TobComp[[#This Row],[Density * 48/weeks]] &lt;=40, 3, 4)))</f>
        <v>1</v>
      </c>
      <c r="J223" s="1">
        <f>IF(TobComp[[#This Row],[Density * 48/weeks]] &lt;=0.5, $O$2, IF(TobComp[[#This Row],[Density * 48/weeks]] &lt;=2.5, $O$3, IF(TobComp[[#This Row],[Density * 48/weeks]] &lt;=40, $O$4, $O$5)))</f>
        <v>10</v>
      </c>
    </row>
    <row r="224" spans="1:10" x14ac:dyDescent="0.2">
      <c r="A224" s="24">
        <v>1</v>
      </c>
      <c r="B224" s="1"/>
      <c r="C224" s="1" t="s">
        <v>428</v>
      </c>
      <c r="D224" s="1">
        <v>989.6</v>
      </c>
      <c r="E224" s="61">
        <v>6</v>
      </c>
      <c r="F224" s="1">
        <f>TobComp[[#This Row],[Number of Retailers in County]]/TobComp[[#This Row],[County Land Mass (mi^2)]]</f>
        <v>6.0630557801131767E-3</v>
      </c>
      <c r="G224" s="2"/>
      <c r="H224" s="62">
        <f>TobComp[[#This Row],[Retail Density of County]]*48</f>
        <v>0.29102667744543248</v>
      </c>
      <c r="I224" s="1">
        <f>IF(TobComp[[#This Row],[Density * 48/weeks]] &lt;=0.5, 1, IF(TobComp[[#This Row],[Density * 48/weeks]] &lt;=2.5, 2, IF(TobComp[[#This Row],[Density * 48/weeks]] &lt;=40, 3, 4)))</f>
        <v>1</v>
      </c>
      <c r="J224" s="1">
        <f>IF(TobComp[[#This Row],[Density * 48/weeks]] &lt;=0.5, $O$2, IF(TobComp[[#This Row],[Density * 48/weeks]] &lt;=2.5, $O$3, IF(TobComp[[#This Row],[Density * 48/weeks]] &lt;=40, $O$4, $O$5)))</f>
        <v>10</v>
      </c>
    </row>
    <row r="225" spans="1:10" x14ac:dyDescent="0.2">
      <c r="A225" s="24">
        <v>9</v>
      </c>
      <c r="B225" s="1"/>
      <c r="C225" s="1" t="s">
        <v>429</v>
      </c>
      <c r="D225" s="1">
        <v>1051.5</v>
      </c>
      <c r="E225" s="61">
        <v>6</v>
      </c>
      <c r="F225" s="1">
        <f>TobComp[[#This Row],[Number of Retailers in County]]/TobComp[[#This Row],[County Land Mass (mi^2)]]</f>
        <v>5.7061340941512127E-3</v>
      </c>
      <c r="G225" s="2"/>
      <c r="H225" s="62">
        <f>TobComp[[#This Row],[Retail Density of County]]*48</f>
        <v>0.27389443651925821</v>
      </c>
      <c r="I225" s="1">
        <f>IF(TobComp[[#This Row],[Density * 48/weeks]] &lt;=0.5, 1, IF(TobComp[[#This Row],[Density * 48/weeks]] &lt;=2.5, 2, IF(TobComp[[#This Row],[Density * 48/weeks]] &lt;=40, 3, 4)))</f>
        <v>1</v>
      </c>
      <c r="J225" s="1">
        <f>IF(TobComp[[#This Row],[Density * 48/weeks]] &lt;=0.5, $O$2, IF(TobComp[[#This Row],[Density * 48/weeks]] &lt;=2.5, $O$3, IF(TobComp[[#This Row],[Density * 48/weeks]] &lt;=40, $O$4, $O$5)))</f>
        <v>10</v>
      </c>
    </row>
    <row r="226" spans="1:10" x14ac:dyDescent="0.2">
      <c r="A226" s="24">
        <v>1</v>
      </c>
      <c r="B226" s="1"/>
      <c r="C226" s="1" t="s">
        <v>430</v>
      </c>
      <c r="D226" s="1">
        <v>901.7</v>
      </c>
      <c r="E226" s="61">
        <v>5</v>
      </c>
      <c r="F226" s="1">
        <f>TobComp[[#This Row],[Number of Retailers in County]]/TobComp[[#This Row],[County Land Mass (mi^2)]]</f>
        <v>5.5450815126982366E-3</v>
      </c>
      <c r="G226" s="2"/>
      <c r="H226" s="62">
        <f>TobComp[[#This Row],[Retail Density of County]]*48</f>
        <v>0.26616391260951533</v>
      </c>
      <c r="I226" s="1">
        <f>IF(TobComp[[#This Row],[Density * 48/weeks]] &lt;=0.5, 1, IF(TobComp[[#This Row],[Density * 48/weeks]] &lt;=2.5, 2, IF(TobComp[[#This Row],[Density * 48/weeks]] &lt;=40, 3, 4)))</f>
        <v>1</v>
      </c>
      <c r="J226" s="1">
        <f>IF(TobComp[[#This Row],[Density * 48/weeks]] &lt;=0.5, $O$2, IF(TobComp[[#This Row],[Density * 48/weeks]] &lt;=2.5, $O$3, IF(TobComp[[#This Row],[Density * 48/weeks]] &lt;=40, $O$4, $O$5)))</f>
        <v>10</v>
      </c>
    </row>
    <row r="227" spans="1:10" x14ac:dyDescent="0.2">
      <c r="A227" s="24">
        <v>1</v>
      </c>
      <c r="B227" s="1"/>
      <c r="C227" s="1" t="s">
        <v>431</v>
      </c>
      <c r="D227" s="1">
        <v>918.4</v>
      </c>
      <c r="E227" s="61">
        <v>5</v>
      </c>
      <c r="F227" s="1">
        <f>TobComp[[#This Row],[Number of Retailers in County]]/TobComp[[#This Row],[County Land Mass (mi^2)]]</f>
        <v>5.4442508710801397E-3</v>
      </c>
      <c r="G227" s="2"/>
      <c r="H227" s="62">
        <f>TobComp[[#This Row],[Retail Density of County]]*48</f>
        <v>0.26132404181184671</v>
      </c>
      <c r="I227" s="1">
        <f>IF(TobComp[[#This Row],[Density * 48/weeks]] &lt;=0.5, 1, IF(TobComp[[#This Row],[Density * 48/weeks]] &lt;=2.5, 2, IF(TobComp[[#This Row],[Density * 48/weeks]] &lt;=40, 3, 4)))</f>
        <v>1</v>
      </c>
      <c r="J227" s="1">
        <f>IF(TobComp[[#This Row],[Density * 48/weeks]] &lt;=0.5, $O$2, IF(TobComp[[#This Row],[Density * 48/weeks]] &lt;=2.5, $O$3, IF(TobComp[[#This Row],[Density * 48/weeks]] &lt;=40, $O$4, $O$5)))</f>
        <v>10</v>
      </c>
    </row>
    <row r="228" spans="1:10" x14ac:dyDescent="0.2">
      <c r="A228" s="24">
        <v>9</v>
      </c>
      <c r="B228" s="1"/>
      <c r="C228" s="1" t="s">
        <v>432</v>
      </c>
      <c r="D228" s="1">
        <v>923.5</v>
      </c>
      <c r="E228" s="61">
        <v>5</v>
      </c>
      <c r="F228" s="1">
        <f>TobComp[[#This Row],[Number of Retailers in County]]/TobComp[[#This Row],[County Land Mass (mi^2)]]</f>
        <v>5.4141851651326473E-3</v>
      </c>
      <c r="G228" s="2"/>
      <c r="H228" s="62">
        <f>TobComp[[#This Row],[Retail Density of County]]*48</f>
        <v>0.2598808879263671</v>
      </c>
      <c r="I228" s="1">
        <f>IF(TobComp[[#This Row],[Density * 48/weeks]] &lt;=0.5, 1, IF(TobComp[[#This Row],[Density * 48/weeks]] &lt;=2.5, 2, IF(TobComp[[#This Row],[Density * 48/weeks]] &lt;=40, 3, 4)))</f>
        <v>1</v>
      </c>
      <c r="J228" s="1">
        <f>IF(TobComp[[#This Row],[Density * 48/weeks]] &lt;=0.5, $O$2, IF(TobComp[[#This Row],[Density * 48/weeks]] &lt;=2.5, $O$3, IF(TobComp[[#This Row],[Density * 48/weeks]] &lt;=40, $O$4, $O$5)))</f>
        <v>10</v>
      </c>
    </row>
    <row r="229" spans="1:10" x14ac:dyDescent="0.2">
      <c r="A229" s="24">
        <v>11</v>
      </c>
      <c r="B229" s="1"/>
      <c r="C229" s="1" t="s">
        <v>433</v>
      </c>
      <c r="D229" s="1">
        <v>1139.8</v>
      </c>
      <c r="E229" s="61">
        <v>6</v>
      </c>
      <c r="F229" s="1">
        <f>TobComp[[#This Row],[Number of Retailers in County]]/TobComp[[#This Row],[County Land Mass (mi^2)]]</f>
        <v>5.2640814177925951E-3</v>
      </c>
      <c r="G229" s="2"/>
      <c r="H229" s="62">
        <f>TobComp[[#This Row],[Retail Density of County]]*48</f>
        <v>0.25267590805404455</v>
      </c>
      <c r="I229" s="1">
        <f>IF(TobComp[[#This Row],[Density * 48/weeks]] &lt;=0.5, 1, IF(TobComp[[#This Row],[Density * 48/weeks]] &lt;=2.5, 2, IF(TobComp[[#This Row],[Density * 48/weeks]] &lt;=40, 3, 4)))</f>
        <v>1</v>
      </c>
      <c r="J229" s="1">
        <f>IF(TobComp[[#This Row],[Density * 48/weeks]] &lt;=0.5, $O$2, IF(TobComp[[#This Row],[Density * 48/weeks]] &lt;=2.5, $O$3, IF(TobComp[[#This Row],[Density * 48/weeks]] &lt;=40, $O$4, $O$5)))</f>
        <v>10</v>
      </c>
    </row>
    <row r="230" spans="1:10" x14ac:dyDescent="0.2">
      <c r="A230" s="24">
        <v>10</v>
      </c>
      <c r="B230" s="1"/>
      <c r="C230" s="1" t="s">
        <v>434</v>
      </c>
      <c r="D230" s="1">
        <v>6183.8</v>
      </c>
      <c r="E230" s="61">
        <v>30</v>
      </c>
      <c r="F230" s="1">
        <f>TobComp[[#This Row],[Number of Retailers in County]]/TobComp[[#This Row],[County Land Mass (mi^2)]]</f>
        <v>4.8513858792328338E-3</v>
      </c>
      <c r="G230" s="2"/>
      <c r="H230" s="62">
        <f>TobComp[[#This Row],[Retail Density of County]]*48</f>
        <v>0.23286652220317602</v>
      </c>
      <c r="I230" s="1">
        <f>IF(TobComp[[#This Row],[Density * 48/weeks]] &lt;=0.5, 1, IF(TobComp[[#This Row],[Density * 48/weeks]] &lt;=2.5, 2, IF(TobComp[[#This Row],[Density * 48/weeks]] &lt;=40, 3, 4)))</f>
        <v>1</v>
      </c>
      <c r="J230" s="1">
        <f>IF(TobComp[[#This Row],[Density * 48/weeks]] &lt;=0.5, $O$2, IF(TobComp[[#This Row],[Density * 48/weeks]] &lt;=2.5, $O$3, IF(TobComp[[#This Row],[Density * 48/weeks]] &lt;=40, $O$4, $O$5)))</f>
        <v>10</v>
      </c>
    </row>
    <row r="231" spans="1:10" x14ac:dyDescent="0.2">
      <c r="A231" s="24">
        <v>1</v>
      </c>
      <c r="B231" s="1"/>
      <c r="C231" s="1" t="s">
        <v>435</v>
      </c>
      <c r="D231" s="1">
        <v>1500.5</v>
      </c>
      <c r="E231" s="61">
        <v>7</v>
      </c>
      <c r="F231" s="1">
        <f>TobComp[[#This Row],[Number of Retailers in County]]/TobComp[[#This Row],[County Land Mass (mi^2)]]</f>
        <v>4.6651116294568473E-3</v>
      </c>
      <c r="G231" s="2"/>
      <c r="H231" s="62">
        <f>TobComp[[#This Row],[Retail Density of County]]*48</f>
        <v>0.22392535821392867</v>
      </c>
      <c r="I231" s="1">
        <f>IF(TobComp[[#This Row],[Density * 48/weeks]] &lt;=0.5, 1, IF(TobComp[[#This Row],[Density * 48/weeks]] &lt;=2.5, 2, IF(TobComp[[#This Row],[Density * 48/weeks]] &lt;=40, 3, 4)))</f>
        <v>1</v>
      </c>
      <c r="J231" s="1">
        <f>IF(TobComp[[#This Row],[Density * 48/weeks]] &lt;=0.5, $O$2, IF(TobComp[[#This Row],[Density * 48/weeks]] &lt;=2.5, $O$3, IF(TobComp[[#This Row],[Density * 48/weeks]] &lt;=40, $O$4, $O$5)))</f>
        <v>10</v>
      </c>
    </row>
    <row r="232" spans="1:10" x14ac:dyDescent="0.2">
      <c r="A232" s="24">
        <v>9</v>
      </c>
      <c r="B232" s="1"/>
      <c r="C232" s="1" t="s">
        <v>436</v>
      </c>
      <c r="D232" s="1">
        <v>668.8</v>
      </c>
      <c r="E232" s="61">
        <v>3</v>
      </c>
      <c r="F232" s="1">
        <f>TobComp[[#This Row],[Number of Retailers in County]]/TobComp[[#This Row],[County Land Mass (mi^2)]]</f>
        <v>4.4856459330143541E-3</v>
      </c>
      <c r="G232" s="2"/>
      <c r="H232" s="62">
        <f>TobComp[[#This Row],[Retail Density of County]]*48</f>
        <v>0.21531100478468901</v>
      </c>
      <c r="I232" s="1">
        <f>IF(TobComp[[#This Row],[Density * 48/weeks]] &lt;=0.5, 1, IF(TobComp[[#This Row],[Density * 48/weeks]] &lt;=2.5, 2, IF(TobComp[[#This Row],[Density * 48/weeks]] &lt;=40, 3, 4)))</f>
        <v>1</v>
      </c>
      <c r="J232" s="1">
        <f>IF(TobComp[[#This Row],[Density * 48/weeks]] &lt;=0.5, $O$2, IF(TobComp[[#This Row],[Density * 48/weeks]] &lt;=2.5, $O$3, IF(TobComp[[#This Row],[Density * 48/weeks]] &lt;=40, $O$4, $O$5)))</f>
        <v>10</v>
      </c>
    </row>
    <row r="233" spans="1:10" x14ac:dyDescent="0.2">
      <c r="A233" s="24">
        <v>2</v>
      </c>
      <c r="B233" s="1"/>
      <c r="C233" s="1" t="s">
        <v>437</v>
      </c>
      <c r="D233" s="1">
        <v>900.6</v>
      </c>
      <c r="E233" s="61">
        <v>4</v>
      </c>
      <c r="F233" s="1">
        <f>TobComp[[#This Row],[Number of Retailers in County]]/TobComp[[#This Row],[County Land Mass (mi^2)]]</f>
        <v>4.4414834554741284E-3</v>
      </c>
      <c r="G233" s="2"/>
      <c r="H233" s="62">
        <f>TobComp[[#This Row],[Retail Density of County]]*48</f>
        <v>0.21319120586275817</v>
      </c>
      <c r="I233" s="1">
        <f>IF(TobComp[[#This Row],[Density * 48/weeks]] &lt;=0.5, 1, IF(TobComp[[#This Row],[Density * 48/weeks]] &lt;=2.5, 2, IF(TobComp[[#This Row],[Density * 48/weeks]] &lt;=40, 3, 4)))</f>
        <v>1</v>
      </c>
      <c r="J233" s="1">
        <f>IF(TobComp[[#This Row],[Density * 48/weeks]] &lt;=0.5, $O$2, IF(TobComp[[#This Row],[Density * 48/weeks]] &lt;=2.5, $O$3, IF(TobComp[[#This Row],[Density * 48/weeks]] &lt;=40, $O$4, $O$5)))</f>
        <v>10</v>
      </c>
    </row>
    <row r="234" spans="1:10" x14ac:dyDescent="0.2">
      <c r="A234" s="24">
        <v>10</v>
      </c>
      <c r="B234" s="1"/>
      <c r="C234" s="1" t="s">
        <v>438</v>
      </c>
      <c r="D234" s="1">
        <v>3855.3</v>
      </c>
      <c r="E234" s="61">
        <v>17</v>
      </c>
      <c r="F234" s="1">
        <f>TobComp[[#This Row],[Number of Retailers in County]]/TobComp[[#This Row],[County Land Mass (mi^2)]]</f>
        <v>4.4095141752911573E-3</v>
      </c>
      <c r="G234" s="2"/>
      <c r="H234" s="62">
        <f>TobComp[[#This Row],[Retail Density of County]]*48</f>
        <v>0.21165668041397556</v>
      </c>
      <c r="I234" s="1">
        <f>IF(TobComp[[#This Row],[Density * 48/weeks]] &lt;=0.5, 1, IF(TobComp[[#This Row],[Density * 48/weeks]] &lt;=2.5, 2, IF(TobComp[[#This Row],[Density * 48/weeks]] &lt;=40, 3, 4)))</f>
        <v>1</v>
      </c>
      <c r="J234" s="1">
        <f>IF(TobComp[[#This Row],[Density * 48/weeks]] &lt;=0.5, $O$2, IF(TobComp[[#This Row],[Density * 48/weeks]] &lt;=2.5, $O$3, IF(TobComp[[#This Row],[Density * 48/weeks]] &lt;=40, $O$4, $O$5)))</f>
        <v>10</v>
      </c>
    </row>
    <row r="235" spans="1:10" x14ac:dyDescent="0.2">
      <c r="A235" s="24">
        <v>1</v>
      </c>
      <c r="B235" s="1"/>
      <c r="C235" s="1" t="s">
        <v>439</v>
      </c>
      <c r="D235" s="1">
        <v>909.1</v>
      </c>
      <c r="E235" s="61">
        <v>4</v>
      </c>
      <c r="F235" s="1">
        <f>TobComp[[#This Row],[Number of Retailers in County]]/TobComp[[#This Row],[County Land Mass (mi^2)]]</f>
        <v>4.3999560004399953E-3</v>
      </c>
      <c r="G235" s="2"/>
      <c r="H235" s="62">
        <f>TobComp[[#This Row],[Retail Density of County]]*48</f>
        <v>0.21119788802111977</v>
      </c>
      <c r="I235" s="1">
        <f>IF(TobComp[[#This Row],[Density * 48/weeks]] &lt;=0.5, 1, IF(TobComp[[#This Row],[Density * 48/weeks]] &lt;=2.5, 2, IF(TobComp[[#This Row],[Density * 48/weeks]] &lt;=40, 3, 4)))</f>
        <v>1</v>
      </c>
      <c r="J235" s="1">
        <f>IF(TobComp[[#This Row],[Density * 48/weeks]] &lt;=0.5, $O$2, IF(TobComp[[#This Row],[Density * 48/weeks]] &lt;=2.5, $O$3, IF(TobComp[[#This Row],[Density * 48/weeks]] &lt;=40, $O$4, $O$5)))</f>
        <v>10</v>
      </c>
    </row>
    <row r="236" spans="1:10" x14ac:dyDescent="0.2">
      <c r="A236" s="24">
        <v>2</v>
      </c>
      <c r="B236" s="1"/>
      <c r="C236" s="1" t="s">
        <v>440</v>
      </c>
      <c r="D236" s="1">
        <v>916.3</v>
      </c>
      <c r="E236" s="61">
        <v>4</v>
      </c>
      <c r="F236" s="1">
        <f>TobComp[[#This Row],[Number of Retailers in County]]/TobComp[[#This Row],[County Land Mass (mi^2)]]</f>
        <v>4.365382516643021E-3</v>
      </c>
      <c r="G236" s="2"/>
      <c r="H236" s="62">
        <f>TobComp[[#This Row],[Retail Density of County]]*48</f>
        <v>0.20953836079886501</v>
      </c>
      <c r="I236" s="1">
        <f>IF(TobComp[[#This Row],[Density * 48/weeks]] &lt;=0.5, 1, IF(TobComp[[#This Row],[Density * 48/weeks]] &lt;=2.5, 2, IF(TobComp[[#This Row],[Density * 48/weeks]] &lt;=40, 3, 4)))</f>
        <v>1</v>
      </c>
      <c r="J236" s="1">
        <f>IF(TobComp[[#This Row],[Density * 48/weeks]] &lt;=0.5, $O$2, IF(TobComp[[#This Row],[Density * 48/weeks]] &lt;=2.5, $O$3, IF(TobComp[[#This Row],[Density * 48/weeks]] &lt;=40, $O$4, $O$5)))</f>
        <v>10</v>
      </c>
    </row>
    <row r="237" spans="1:10" x14ac:dyDescent="0.2">
      <c r="A237" s="24">
        <v>2</v>
      </c>
      <c r="B237" s="1"/>
      <c r="C237" s="1" t="s">
        <v>441</v>
      </c>
      <c r="D237" s="1">
        <v>704.4</v>
      </c>
      <c r="E237" s="61">
        <v>3</v>
      </c>
      <c r="F237" s="1">
        <f>TobComp[[#This Row],[Number of Retailers in County]]/TobComp[[#This Row],[County Land Mass (mi^2)]]</f>
        <v>4.2589437819420782E-3</v>
      </c>
      <c r="G237" s="2"/>
      <c r="H237" s="62">
        <f>TobComp[[#This Row],[Retail Density of County]]*48</f>
        <v>0.20442930153321975</v>
      </c>
      <c r="I237" s="1">
        <f>IF(TobComp[[#This Row],[Density * 48/weeks]] &lt;=0.5, 1, IF(TobComp[[#This Row],[Density * 48/weeks]] &lt;=2.5, 2, IF(TobComp[[#This Row],[Density * 48/weeks]] &lt;=40, 3, 4)))</f>
        <v>1</v>
      </c>
      <c r="J237" s="1">
        <f>IF(TobComp[[#This Row],[Density * 48/weeks]] &lt;=0.5, $O$2, IF(TobComp[[#This Row],[Density * 48/weeks]] &lt;=2.5, $O$3, IF(TobComp[[#This Row],[Density * 48/weeks]] &lt;=40, $O$4, $O$5)))</f>
        <v>10</v>
      </c>
    </row>
    <row r="238" spans="1:10" x14ac:dyDescent="0.2">
      <c r="A238" s="24">
        <v>9</v>
      </c>
      <c r="B238" s="1"/>
      <c r="C238" s="1" t="s">
        <v>442</v>
      </c>
      <c r="D238" s="1">
        <v>1310.5999999999999</v>
      </c>
      <c r="E238" s="61">
        <v>5</v>
      </c>
      <c r="F238" s="1">
        <f>TobComp[[#This Row],[Number of Retailers in County]]/TobComp[[#This Row],[County Land Mass (mi^2)]]</f>
        <v>3.8150465435678317E-3</v>
      </c>
      <c r="G238" s="2"/>
      <c r="H238" s="62">
        <f>TobComp[[#This Row],[Retail Density of County]]*48</f>
        <v>0.18312223409125591</v>
      </c>
      <c r="I238" s="1">
        <f>IF(TobComp[[#This Row],[Density * 48/weeks]] &lt;=0.5, 1, IF(TobComp[[#This Row],[Density * 48/weeks]] &lt;=2.5, 2, IF(TobComp[[#This Row],[Density * 48/weeks]] &lt;=40, 3, 4)))</f>
        <v>1</v>
      </c>
      <c r="J238" s="1">
        <f>IF(TobComp[[#This Row],[Density * 48/weeks]] &lt;=0.5, $O$2, IF(TobComp[[#This Row],[Density * 48/weeks]] &lt;=2.5, $O$3, IF(TobComp[[#This Row],[Density * 48/weeks]] &lt;=40, $O$4, $O$5)))</f>
        <v>10</v>
      </c>
    </row>
    <row r="239" spans="1:10" x14ac:dyDescent="0.2">
      <c r="A239" s="24">
        <v>8</v>
      </c>
      <c r="B239" s="1"/>
      <c r="C239" s="1" t="s">
        <v>443</v>
      </c>
      <c r="D239" s="1">
        <v>1360.5</v>
      </c>
      <c r="E239" s="61">
        <v>5</v>
      </c>
      <c r="F239" s="1">
        <f>TobComp[[#This Row],[Number of Retailers in County]]/TobComp[[#This Row],[County Land Mass (mi^2)]]</f>
        <v>3.6751194413818448E-3</v>
      </c>
      <c r="G239" s="2"/>
      <c r="H239" s="62">
        <f>TobComp[[#This Row],[Retail Density of County]]*48</f>
        <v>0.17640573318632854</v>
      </c>
      <c r="I239" s="1">
        <f>IF(TobComp[[#This Row],[Density * 48/weeks]] &lt;=0.5, 1, IF(TobComp[[#This Row],[Density * 48/weeks]] &lt;=2.5, 2, IF(TobComp[[#This Row],[Density * 48/weeks]] &lt;=40, 3, 4)))</f>
        <v>1</v>
      </c>
      <c r="J239" s="1">
        <f>IF(TobComp[[#This Row],[Density * 48/weeks]] &lt;=0.5, $O$2, IF(TobComp[[#This Row],[Density * 48/weeks]] &lt;=2.5, $O$3, IF(TobComp[[#This Row],[Density * 48/weeks]] &lt;=40, $O$4, $O$5)))</f>
        <v>10</v>
      </c>
    </row>
    <row r="240" spans="1:10" x14ac:dyDescent="0.2">
      <c r="A240" s="24">
        <v>9</v>
      </c>
      <c r="B240" s="1"/>
      <c r="C240" s="1" t="s">
        <v>444</v>
      </c>
      <c r="D240" s="1">
        <v>2807.3</v>
      </c>
      <c r="E240" s="61">
        <v>10</v>
      </c>
      <c r="F240" s="1">
        <f>TobComp[[#This Row],[Number of Retailers in County]]/TobComp[[#This Row],[County Land Mass (mi^2)]]</f>
        <v>3.5621415595055747E-3</v>
      </c>
      <c r="G240" s="2"/>
      <c r="H240" s="62">
        <f>TobComp[[#This Row],[Retail Density of County]]*48</f>
        <v>0.17098279485626758</v>
      </c>
      <c r="I240" s="1">
        <f>IF(TobComp[[#This Row],[Density * 48/weeks]] &lt;=0.5, 1, IF(TobComp[[#This Row],[Density * 48/weeks]] &lt;=2.5, 2, IF(TobComp[[#This Row],[Density * 48/weeks]] &lt;=40, 3, 4)))</f>
        <v>1</v>
      </c>
      <c r="J240" s="1">
        <f>IF(TobComp[[#This Row],[Density * 48/weeks]] &lt;=0.5, $O$2, IF(TobComp[[#This Row],[Density * 48/weeks]] &lt;=2.5, $O$3, IF(TobComp[[#This Row],[Density * 48/weeks]] &lt;=40, $O$4, $O$5)))</f>
        <v>10</v>
      </c>
    </row>
    <row r="241" spans="1:10" x14ac:dyDescent="0.2">
      <c r="A241" s="24">
        <v>1</v>
      </c>
      <c r="B241" s="1"/>
      <c r="C241" s="1" t="s">
        <v>445</v>
      </c>
      <c r="D241" s="1">
        <v>1462</v>
      </c>
      <c r="E241" s="61">
        <v>5</v>
      </c>
      <c r="F241" s="1">
        <f>TobComp[[#This Row],[Number of Retailers in County]]/TobComp[[#This Row],[County Land Mass (mi^2)]]</f>
        <v>3.4199726402188782E-3</v>
      </c>
      <c r="G241" s="2"/>
      <c r="H241" s="62">
        <f>TobComp[[#This Row],[Retail Density of County]]*48</f>
        <v>0.16415868673050615</v>
      </c>
      <c r="I241" s="1">
        <f>IF(TobComp[[#This Row],[Density * 48/weeks]] &lt;=0.5, 1, IF(TobComp[[#This Row],[Density * 48/weeks]] &lt;=2.5, 2, IF(TobComp[[#This Row],[Density * 48/weeks]] &lt;=40, 3, 4)))</f>
        <v>1</v>
      </c>
      <c r="J241" s="1">
        <f>IF(TobComp[[#This Row],[Density * 48/weeks]] &lt;=0.5, $O$2, IF(TobComp[[#This Row],[Density * 48/weeks]] &lt;=2.5, $O$3, IF(TobComp[[#This Row],[Density * 48/weeks]] &lt;=40, $O$4, $O$5)))</f>
        <v>10</v>
      </c>
    </row>
    <row r="242" spans="1:10" x14ac:dyDescent="0.2">
      <c r="A242" s="24">
        <v>10</v>
      </c>
      <c r="B242" s="1"/>
      <c r="C242" s="1" t="s">
        <v>446</v>
      </c>
      <c r="D242" s="1">
        <v>3812.2</v>
      </c>
      <c r="E242" s="61">
        <v>13</v>
      </c>
      <c r="F242" s="1">
        <f>TobComp[[#This Row],[Number of Retailers in County]]/TobComp[[#This Row],[County Land Mass (mi^2)]]</f>
        <v>3.4101044016578356E-3</v>
      </c>
      <c r="G242" s="2"/>
      <c r="H242" s="62">
        <f>TobComp[[#This Row],[Retail Density of County]]*48</f>
        <v>0.1636850112795761</v>
      </c>
      <c r="I242" s="1">
        <f>IF(TobComp[[#This Row],[Density * 48/weeks]] &lt;=0.5, 1, IF(TobComp[[#This Row],[Density * 48/weeks]] &lt;=2.5, 2, IF(TobComp[[#This Row],[Density * 48/weeks]] &lt;=40, 3, 4)))</f>
        <v>1</v>
      </c>
      <c r="J242" s="1">
        <f>IF(TobComp[[#This Row],[Density * 48/weeks]] &lt;=0.5, $O$2, IF(TobComp[[#This Row],[Density * 48/weeks]] &lt;=2.5, $O$3, IF(TobComp[[#This Row],[Density * 48/weeks]] &lt;=40, $O$4, $O$5)))</f>
        <v>10</v>
      </c>
    </row>
    <row r="243" spans="1:10" x14ac:dyDescent="0.2">
      <c r="A243" s="24">
        <v>1</v>
      </c>
      <c r="B243" s="1"/>
      <c r="C243" s="1" t="s">
        <v>447</v>
      </c>
      <c r="D243" s="1">
        <v>900</v>
      </c>
      <c r="E243" s="61">
        <v>3</v>
      </c>
      <c r="F243" s="1">
        <f>TobComp[[#This Row],[Number of Retailers in County]]/TobComp[[#This Row],[County Land Mass (mi^2)]]</f>
        <v>3.3333333333333335E-3</v>
      </c>
      <c r="G243" s="2"/>
      <c r="H243" s="62">
        <f>TobComp[[#This Row],[Retail Density of County]]*48</f>
        <v>0.16</v>
      </c>
      <c r="I243" s="1">
        <f>IF(TobComp[[#This Row],[Density * 48/weeks]] &lt;=0.5, 1, IF(TobComp[[#This Row],[Density * 48/weeks]] &lt;=2.5, 2, IF(TobComp[[#This Row],[Density * 48/weeks]] &lt;=40, 3, 4)))</f>
        <v>1</v>
      </c>
      <c r="J243" s="1">
        <f>IF(TobComp[[#This Row],[Density * 48/weeks]] &lt;=0.5, $O$2, IF(TobComp[[#This Row],[Density * 48/weeks]] &lt;=2.5, $O$3, IF(TobComp[[#This Row],[Density * 48/weeks]] &lt;=40, $O$4, $O$5)))</f>
        <v>10</v>
      </c>
    </row>
    <row r="244" spans="1:10" x14ac:dyDescent="0.2">
      <c r="A244" s="24">
        <v>9</v>
      </c>
      <c r="B244" s="1"/>
      <c r="C244" s="1" t="s">
        <v>448</v>
      </c>
      <c r="D244" s="1">
        <v>900.2</v>
      </c>
      <c r="E244" s="61">
        <v>3</v>
      </c>
      <c r="F244" s="1">
        <f>TobComp[[#This Row],[Number of Retailers in County]]/TobComp[[#This Row],[County Land Mass (mi^2)]]</f>
        <v>3.3325927571650742E-3</v>
      </c>
      <c r="G244" s="2"/>
      <c r="H244" s="62">
        <f>TobComp[[#This Row],[Retail Density of County]]*48</f>
        <v>0.15996445234392356</v>
      </c>
      <c r="I244" s="1">
        <f>IF(TobComp[[#This Row],[Density * 48/weeks]] &lt;=0.5, 1, IF(TobComp[[#This Row],[Density * 48/weeks]] &lt;=2.5, 2, IF(TobComp[[#This Row],[Density * 48/weeks]] &lt;=40, 3, 4)))</f>
        <v>1</v>
      </c>
      <c r="J244" s="1">
        <f>IF(TobComp[[#This Row],[Density * 48/weeks]] &lt;=0.5, $O$2, IF(TobComp[[#This Row],[Density * 48/weeks]] &lt;=2.5, $O$3, IF(TobComp[[#This Row],[Density * 48/weeks]] &lt;=40, $O$4, $O$5)))</f>
        <v>10</v>
      </c>
    </row>
    <row r="245" spans="1:10" x14ac:dyDescent="0.2">
      <c r="A245" s="24">
        <v>2</v>
      </c>
      <c r="B245" s="1"/>
      <c r="C245" s="1" t="s">
        <v>449</v>
      </c>
      <c r="D245" s="1">
        <v>912.6</v>
      </c>
      <c r="E245" s="61">
        <v>3</v>
      </c>
      <c r="F245" s="1">
        <f>TobComp[[#This Row],[Number of Retailers in County]]/TobComp[[#This Row],[County Land Mass (mi^2)]]</f>
        <v>3.2873109796186717E-3</v>
      </c>
      <c r="G245" s="2"/>
      <c r="H245" s="62">
        <f>TobComp[[#This Row],[Retail Density of County]]*48</f>
        <v>0.15779092702169623</v>
      </c>
      <c r="I245" s="1">
        <f>IF(TobComp[[#This Row],[Density * 48/weeks]] &lt;=0.5, 1, IF(TobComp[[#This Row],[Density * 48/weeks]] &lt;=2.5, 2, IF(TobComp[[#This Row],[Density * 48/weeks]] &lt;=40, 3, 4)))</f>
        <v>1</v>
      </c>
      <c r="J245" s="1">
        <f>IF(TobComp[[#This Row],[Density * 48/weeks]] &lt;=0.5, $O$2, IF(TobComp[[#This Row],[Density * 48/weeks]] &lt;=2.5, $O$3, IF(TobComp[[#This Row],[Density * 48/weeks]] &lt;=40, $O$4, $O$5)))</f>
        <v>10</v>
      </c>
    </row>
    <row r="246" spans="1:10" x14ac:dyDescent="0.2">
      <c r="A246" s="24">
        <v>8</v>
      </c>
      <c r="B246" s="1"/>
      <c r="C246" s="1" t="s">
        <v>450</v>
      </c>
      <c r="D246" s="1">
        <v>2117.9</v>
      </c>
      <c r="E246" s="61">
        <v>6</v>
      </c>
      <c r="F246" s="1">
        <f>TobComp[[#This Row],[Number of Retailers in County]]/TobComp[[#This Row],[County Land Mass (mi^2)]]</f>
        <v>2.8329949478256762E-3</v>
      </c>
      <c r="G246" s="2"/>
      <c r="H246" s="62">
        <f>TobComp[[#This Row],[Retail Density of County]]*48</f>
        <v>0.13598375749563246</v>
      </c>
      <c r="I246" s="1">
        <f>IF(TobComp[[#This Row],[Density * 48/weeks]] &lt;=0.5, 1, IF(TobComp[[#This Row],[Density * 48/weeks]] &lt;=2.5, 2, IF(TobComp[[#This Row],[Density * 48/weeks]] &lt;=40, 3, 4)))</f>
        <v>1</v>
      </c>
      <c r="J246" s="1">
        <f>IF(TobComp[[#This Row],[Density * 48/weeks]] &lt;=0.5, $O$2, IF(TobComp[[#This Row],[Density * 48/weeks]] &lt;=2.5, $O$3, IF(TobComp[[#This Row],[Density * 48/weeks]] &lt;=40, $O$4, $O$5)))</f>
        <v>10</v>
      </c>
    </row>
    <row r="247" spans="1:10" x14ac:dyDescent="0.2">
      <c r="A247" s="24">
        <v>10</v>
      </c>
      <c r="B247" s="1"/>
      <c r="C247" s="1" t="s">
        <v>451</v>
      </c>
      <c r="D247" s="1">
        <v>2264.6</v>
      </c>
      <c r="E247" s="61">
        <v>5</v>
      </c>
      <c r="F247" s="1">
        <f>TobComp[[#This Row],[Number of Retailers in County]]/TobComp[[#This Row],[County Land Mass (mi^2)]]</f>
        <v>2.2078954340722426E-3</v>
      </c>
      <c r="G247" s="2"/>
      <c r="H247" s="62">
        <f>TobComp[[#This Row],[Retail Density of County]]*48</f>
        <v>0.10597898083546764</v>
      </c>
      <c r="I247" s="1">
        <f>IF(TobComp[[#This Row],[Density * 48/weeks]] &lt;=0.5, 1, IF(TobComp[[#This Row],[Density * 48/weeks]] &lt;=2.5, 2, IF(TobComp[[#This Row],[Density * 48/weeks]] &lt;=40, 3, 4)))</f>
        <v>1</v>
      </c>
      <c r="J247" s="1">
        <f>IF(TobComp[[#This Row],[Density * 48/weeks]] &lt;=0.5, $O$2, IF(TobComp[[#This Row],[Density * 48/weeks]] &lt;=2.5, $O$3, IF(TobComp[[#This Row],[Density * 48/weeks]] &lt;=40, $O$4, $O$5)))</f>
        <v>10</v>
      </c>
    </row>
    <row r="248" spans="1:10" x14ac:dyDescent="0.2">
      <c r="A248" s="24">
        <v>10</v>
      </c>
      <c r="B248" s="1"/>
      <c r="C248" s="1" t="s">
        <v>452</v>
      </c>
      <c r="D248" s="1">
        <v>4570.5</v>
      </c>
      <c r="E248" s="61">
        <v>6</v>
      </c>
      <c r="F248" s="1">
        <f>TobComp[[#This Row],[Number of Retailers in County]]/TobComp[[#This Row],[County Land Mass (mi^2)]]</f>
        <v>1.3127666557269445E-3</v>
      </c>
      <c r="G248" s="2"/>
      <c r="H248" s="62">
        <f>TobComp[[#This Row],[Retail Density of County]]*48</f>
        <v>6.3012799474893327E-2</v>
      </c>
      <c r="I248" s="1">
        <f>IF(TobComp[[#This Row],[Density * 48/weeks]] &lt;=0.5, 1, IF(TobComp[[#This Row],[Density * 48/weeks]] &lt;=2.5, 2, IF(TobComp[[#This Row],[Density * 48/weeks]] &lt;=40, 3, 4)))</f>
        <v>1</v>
      </c>
      <c r="J248" s="1">
        <f>IF(TobComp[[#This Row],[Density * 48/weeks]] &lt;=0.5, $O$2, IF(TobComp[[#This Row],[Density * 48/weeks]] &lt;=2.5, $O$3, IF(TobComp[[#This Row],[Density * 48/weeks]] &lt;=40, $O$4, $O$5)))</f>
        <v>10</v>
      </c>
    </row>
    <row r="249" spans="1:10" x14ac:dyDescent="0.2">
      <c r="A249" s="24">
        <v>9</v>
      </c>
      <c r="B249" s="1"/>
      <c r="C249" s="1" t="s">
        <v>453</v>
      </c>
      <c r="D249" s="1">
        <v>897.4</v>
      </c>
      <c r="E249" s="61">
        <v>1</v>
      </c>
      <c r="F249" s="1">
        <f>TobComp[[#This Row],[Number of Retailers in County]]/TobComp[[#This Row],[County Land Mass (mi^2)]]</f>
        <v>1.1143302874972142E-3</v>
      </c>
      <c r="G249" s="2"/>
      <c r="H249" s="62">
        <f>TobComp[[#This Row],[Retail Density of County]]*48</f>
        <v>5.3487853799866279E-2</v>
      </c>
      <c r="I249" s="1">
        <f>IF(TobComp[[#This Row],[Density * 48/weeks]] &lt;=0.5, 1, IF(TobComp[[#This Row],[Density * 48/weeks]] &lt;=2.5, 2, IF(TobComp[[#This Row],[Density * 48/weeks]] &lt;=40, 3, 4)))</f>
        <v>1</v>
      </c>
      <c r="J249" s="1">
        <f>IF(TobComp[[#This Row],[Density * 48/weeks]] &lt;=0.5, $O$2, IF(TobComp[[#This Row],[Density * 48/weeks]] &lt;=2.5, $O$3, IF(TobComp[[#This Row],[Density * 48/weeks]] &lt;=40, $O$4, $O$5)))</f>
        <v>10</v>
      </c>
    </row>
    <row r="250" spans="1:10" x14ac:dyDescent="0.2">
      <c r="A250" s="24">
        <v>2</v>
      </c>
      <c r="B250" s="1"/>
      <c r="C250" s="1" t="s">
        <v>454</v>
      </c>
      <c r="D250" s="1">
        <v>902.5</v>
      </c>
      <c r="E250" s="61">
        <v>1</v>
      </c>
      <c r="F250" s="1">
        <f>TobComp[[#This Row],[Number of Retailers in County]]/TobComp[[#This Row],[County Land Mass (mi^2)]]</f>
        <v>1.10803324099723E-3</v>
      </c>
      <c r="G250" s="2"/>
      <c r="H250" s="62">
        <f>TobComp[[#This Row],[Retail Density of County]]*48</f>
        <v>5.318559556786704E-2</v>
      </c>
      <c r="I250" s="1">
        <f>IF(TobComp[[#This Row],[Density * 48/weeks]] &lt;=0.5, 1, IF(TobComp[[#This Row],[Density * 48/weeks]] &lt;=2.5, 2, IF(TobComp[[#This Row],[Density * 48/weeks]] &lt;=40, 3, 4)))</f>
        <v>1</v>
      </c>
      <c r="J250" s="1">
        <f>IF(TobComp[[#This Row],[Density * 48/weeks]] &lt;=0.5, $O$2, IF(TobComp[[#This Row],[Density * 48/weeks]] &lt;=2.5, $O$3, IF(TobComp[[#This Row],[Density * 48/weeks]] &lt;=40, $O$4, $O$5)))</f>
        <v>10</v>
      </c>
    </row>
    <row r="251" spans="1:10" x14ac:dyDescent="0.2">
      <c r="A251" s="24">
        <v>1</v>
      </c>
      <c r="B251" s="1"/>
      <c r="C251" s="1" t="s">
        <v>455</v>
      </c>
      <c r="D251" s="1">
        <v>910.9</v>
      </c>
      <c r="E251" s="61">
        <v>1</v>
      </c>
      <c r="F251" s="1">
        <f>TobComp[[#This Row],[Number of Retailers in County]]/TobComp[[#This Row],[County Land Mass (mi^2)]]</f>
        <v>1.0978153474585574E-3</v>
      </c>
      <c r="G251" s="2"/>
      <c r="H251" s="62">
        <f>TobComp[[#This Row],[Retail Density of County]]*48</f>
        <v>5.2695136678010755E-2</v>
      </c>
      <c r="I251" s="1">
        <f>IF(TobComp[[#This Row],[Density * 48/weeks]] &lt;=0.5, 1, IF(TobComp[[#This Row],[Density * 48/weeks]] &lt;=2.5, 2, IF(TobComp[[#This Row],[Density * 48/weeks]] &lt;=40, 3, 4)))</f>
        <v>1</v>
      </c>
      <c r="J251" s="1">
        <f>IF(TobComp[[#This Row],[Density * 48/weeks]] &lt;=0.5, $O$2, IF(TobComp[[#This Row],[Density * 48/weeks]] &lt;=2.5, $O$3, IF(TobComp[[#This Row],[Density * 48/weeks]] &lt;=40, $O$4, $O$5)))</f>
        <v>10</v>
      </c>
    </row>
    <row r="252" spans="1:10" x14ac:dyDescent="0.2">
      <c r="A252" s="24">
        <v>1</v>
      </c>
      <c r="B252" s="1"/>
      <c r="C252" s="1" t="s">
        <v>456</v>
      </c>
      <c r="D252" s="1">
        <v>924.1</v>
      </c>
      <c r="E252" s="61">
        <v>1</v>
      </c>
      <c r="F252" s="1">
        <f>TobComp[[#This Row],[Number of Retailers in County]]/TobComp[[#This Row],[County Land Mass (mi^2)]]</f>
        <v>1.0821339681852612E-3</v>
      </c>
      <c r="G252" s="2"/>
      <c r="H252" s="62">
        <f>TobComp[[#This Row],[Retail Density of County]]*48</f>
        <v>5.1942430472892542E-2</v>
      </c>
      <c r="I252" s="1">
        <f>IF(TobComp[[#This Row],[Density * 48/weeks]] &lt;=0.5, 1, IF(TobComp[[#This Row],[Density * 48/weeks]] &lt;=2.5, 2, IF(TobComp[[#This Row],[Density * 48/weeks]] &lt;=40, 3, 4)))</f>
        <v>1</v>
      </c>
      <c r="J252" s="1">
        <f>IF(TobComp[[#This Row],[Density * 48/weeks]] &lt;=0.5, $O$2, IF(TobComp[[#This Row],[Density * 48/weeks]] &lt;=2.5, $O$3, IF(TobComp[[#This Row],[Density * 48/weeks]] &lt;=40, $O$4, $O$5)))</f>
        <v>10</v>
      </c>
    </row>
    <row r="253" spans="1:10" x14ac:dyDescent="0.2">
      <c r="A253" s="24">
        <v>9</v>
      </c>
      <c r="B253" s="1"/>
      <c r="C253" s="1" t="s">
        <v>457</v>
      </c>
      <c r="D253" s="1">
        <v>2358</v>
      </c>
      <c r="E253" s="61">
        <v>2</v>
      </c>
      <c r="F253" s="1">
        <f>TobComp[[#This Row],[Number of Retailers in County]]/TobComp[[#This Row],[County Land Mass (mi^2)]]</f>
        <v>8.4817642069550466E-4</v>
      </c>
      <c r="G253" s="2"/>
      <c r="H253" s="62">
        <f>TobComp[[#This Row],[Retail Density of County]]*48</f>
        <v>4.0712468193384227E-2</v>
      </c>
      <c r="I253" s="1">
        <f>IF(TobComp[[#This Row],[Density * 48/weeks]] &lt;=0.5, 1, IF(TobComp[[#This Row],[Density * 48/weeks]] &lt;=2.5, 2, IF(TobComp[[#This Row],[Density * 48/weeks]] &lt;=40, 3, 4)))</f>
        <v>1</v>
      </c>
      <c r="J253" s="1">
        <f>IF(TobComp[[#This Row],[Density * 48/weeks]] &lt;=0.5, $O$2, IF(TobComp[[#This Row],[Density * 48/weeks]] &lt;=2.5, $O$3, IF(TobComp[[#This Row],[Density * 48/weeks]] &lt;=40, $O$4, $O$5)))</f>
        <v>10</v>
      </c>
    </row>
    <row r="254" spans="1:10" x14ac:dyDescent="0.2">
      <c r="A254" s="24">
        <v>11</v>
      </c>
      <c r="B254" s="1"/>
      <c r="C254" s="1" t="s">
        <v>458</v>
      </c>
      <c r="D254" s="1">
        <v>1458.6</v>
      </c>
      <c r="E254" s="61">
        <v>0</v>
      </c>
      <c r="F254" s="1">
        <f>TobComp[[#This Row],[Number of Retailers in County]]/TobComp[[#This Row],[County Land Mass (mi^2)]]</f>
        <v>0</v>
      </c>
      <c r="G254" s="2"/>
      <c r="H254" s="1">
        <f>TobComp[[#This Row],[Retail Density of County]]*48</f>
        <v>0</v>
      </c>
      <c r="I254" s="1">
        <f>IF(TobComp[[#This Row],[Density * 48/weeks]] &lt;=0.5, 1, IF(TobComp[[#This Row],[Density * 48/weeks]] &lt;=2.5, 2, IF(TobComp[[#This Row],[Density * 48/weeks]] &lt;=40, 3, 4)))</f>
        <v>1</v>
      </c>
      <c r="J254" s="1">
        <f>IF(TobComp[[#This Row],[Density * 48/weeks]] &lt;=0.5, $O$2, IF(TobComp[[#This Row],[Density * 48/weeks]] &lt;=2.5, $O$3, IF(TobComp[[#This Row],[Density * 48/weeks]] &lt;=40, $O$4, $O$5)))</f>
        <v>10</v>
      </c>
    </row>
    <row r="255" spans="1:10" x14ac:dyDescent="0.2">
      <c r="A255" s="24">
        <v>8</v>
      </c>
      <c r="B255" s="1"/>
      <c r="C255" s="1" t="s">
        <v>459</v>
      </c>
      <c r="D255" s="1">
        <v>1486.7</v>
      </c>
      <c r="E255" s="61">
        <v>0</v>
      </c>
      <c r="F255" s="1">
        <f>TobComp[[#This Row],[Number of Retailers in County]]/TobComp[[#This Row],[County Land Mass (mi^2)]]</f>
        <v>0</v>
      </c>
      <c r="G255" s="2"/>
      <c r="H255" s="1">
        <f>TobComp[[#This Row],[Retail Density of County]]*48</f>
        <v>0</v>
      </c>
      <c r="I255" s="1">
        <f>IF(TobComp[[#This Row],[Density * 48/weeks]] &lt;=0.5, 1, IF(TobComp[[#This Row],[Density * 48/weeks]] &lt;=2.5, 2, IF(TobComp[[#This Row],[Density * 48/weeks]] &lt;=40, 3, 4)))</f>
        <v>1</v>
      </c>
      <c r="J255" s="1">
        <f>IF(TobComp[[#This Row],[Density * 48/weeks]] &lt;=0.5, $O$2, IF(TobComp[[#This Row],[Density * 48/weeks]] &lt;=2.5, $O$3, IF(TobComp[[#This Row],[Density * 48/weeks]] &lt;=40, $O$4, $O$5)))</f>
        <v>10</v>
      </c>
    </row>
  </sheetData>
  <sheetProtection algorithmName="SHA-512" hashValue="nHcP/vcwPCcUnrQSsgV9wtfcDENTMe0hHm2mh0yP0ipCKgv9YxGDmVduV1Fj2wyBc+4m3WrEJ+05tksRmKEEzQ==" saltValue="CiK7kPBRTaBKabdewLMRAQ==" spinCount="100000" sheet="1" objects="1" scenarios="1"/>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26A92-15DE-4CD1-8E74-914875FB5A0E}">
  <dimension ref="A1:N256"/>
  <sheetViews>
    <sheetView workbookViewId="0">
      <selection activeCell="E21" sqref="E21"/>
    </sheetView>
  </sheetViews>
  <sheetFormatPr defaultColWidth="8.796875" defaultRowHeight="15" x14ac:dyDescent="0.2"/>
  <cols>
    <col min="1" max="1" width="18.296875" style="23" customWidth="1"/>
    <col min="2" max="2" width="8.296875" customWidth="1"/>
    <col min="3" max="3" width="9" customWidth="1"/>
    <col min="4" max="4" width="13.5" customWidth="1"/>
    <col min="5" max="6" width="13.3984375" customWidth="1"/>
    <col min="7" max="7" width="12.69921875" customWidth="1"/>
    <col min="8" max="8" width="8.796875" hidden="1" customWidth="1"/>
    <col min="9" max="9" width="10.09765625" customWidth="1"/>
    <col min="10" max="10" width="11.19921875" customWidth="1"/>
    <col min="11" max="11" width="13.296875" customWidth="1"/>
    <col min="12" max="12" width="17.796875" customWidth="1"/>
  </cols>
  <sheetData>
    <row r="1" spans="1:12" ht="45" x14ac:dyDescent="0.2">
      <c r="A1" s="24" t="s">
        <v>460</v>
      </c>
      <c r="B1" s="24" t="s">
        <v>461</v>
      </c>
      <c r="C1" s="1" t="s">
        <v>462</v>
      </c>
      <c r="D1" s="1" t="s">
        <v>463</v>
      </c>
      <c r="E1" s="1" t="s">
        <v>464</v>
      </c>
      <c r="F1" s="1" t="s">
        <v>465</v>
      </c>
      <c r="G1" s="1" t="s">
        <v>466</v>
      </c>
      <c r="H1" s="1" t="s">
        <v>467</v>
      </c>
      <c r="I1" s="1" t="s">
        <v>468</v>
      </c>
      <c r="J1" s="24" t="s">
        <v>469</v>
      </c>
      <c r="K1" s="24" t="s">
        <v>470</v>
      </c>
      <c r="L1" s="1" t="s">
        <v>471</v>
      </c>
    </row>
    <row r="2" spans="1:12" x14ac:dyDescent="0.2">
      <c r="A2" s="27" t="s">
        <v>472</v>
      </c>
      <c r="B2" s="1">
        <v>9</v>
      </c>
      <c r="C2">
        <v>42</v>
      </c>
      <c r="D2" s="26">
        <v>25</v>
      </c>
      <c r="E2" s="26">
        <v>1</v>
      </c>
      <c r="F2" s="26">
        <f>Calculations_Other[[#This Row],[Average '# per week]]*Calculations_Other[[#This Row],[Average number of weeks]]</f>
        <v>378</v>
      </c>
      <c r="G2" s="1">
        <f>Calculations_Other[[#This Row],[Average '# per week]]*Calculations_Other[[#This Row],[Average number of weeks]]*Calculations_Other[[#This Row],[Youth In attendance]]</f>
        <v>9450</v>
      </c>
      <c r="H2" s="2"/>
      <c r="I2" s="1">
        <f>Calculations_Other[[#This Row],[Average '# per week]]*Calculations_Other[[#This Row],[Average number of weeks]]*Calculations_Other[[#This Row],[Adults in attendance]]</f>
        <v>378</v>
      </c>
      <c r="J2" s="1"/>
      <c r="K2" s="1"/>
      <c r="L2" s="1"/>
    </row>
    <row r="3" spans="1:12" x14ac:dyDescent="0.2">
      <c r="A3" s="27" t="s">
        <v>473</v>
      </c>
      <c r="B3" s="1">
        <v>3</v>
      </c>
      <c r="C3">
        <v>42</v>
      </c>
      <c r="D3" s="1"/>
      <c r="E3" s="26">
        <v>12</v>
      </c>
      <c r="F3" s="26">
        <f>Calculations_Other[[#This Row],[Average '# per week]]*Calculations_Other[[#This Row],[Average number of weeks]]</f>
        <v>126</v>
      </c>
      <c r="G3" s="1">
        <f>Calculations_Other[[#This Row],[Average '# per week]]*Calculations_Other[[#This Row],[Average number of weeks]]*Calculations_Other[[#This Row],[Youth In attendance]]</f>
        <v>0</v>
      </c>
      <c r="H3" s="2"/>
      <c r="I3" s="1">
        <f>Calculations_Other[[#This Row],[Average '# per week]]*Calculations_Other[[#This Row],[Average number of weeks]]*Calculations_Other[[#This Row],[Adults in attendance]]</f>
        <v>1512</v>
      </c>
      <c r="J3" s="1"/>
      <c r="K3" s="1"/>
      <c r="L3" s="1"/>
    </row>
    <row r="4" spans="1:12" x14ac:dyDescent="0.2">
      <c r="A4" s="29" t="s">
        <v>474</v>
      </c>
      <c r="B4" s="30">
        <f>SUM(B2:B3)</f>
        <v>12</v>
      </c>
      <c r="C4" s="31"/>
      <c r="D4" s="31"/>
      <c r="E4" s="31"/>
      <c r="F4" s="30">
        <f t="shared" ref="F4:I4" si="0">SUM(F2:F3)</f>
        <v>504</v>
      </c>
      <c r="G4" s="30">
        <f t="shared" si="0"/>
        <v>9450</v>
      </c>
      <c r="H4" s="30">
        <f t="shared" si="0"/>
        <v>0</v>
      </c>
      <c r="I4" s="30">
        <f t="shared" si="0"/>
        <v>1890</v>
      </c>
      <c r="J4" s="1"/>
      <c r="K4" s="1"/>
      <c r="L4" s="1"/>
    </row>
    <row r="5" spans="1:12" x14ac:dyDescent="0.2">
      <c r="A5" s="28" t="s">
        <v>475</v>
      </c>
      <c r="B5" s="1">
        <v>8</v>
      </c>
      <c r="C5">
        <v>42</v>
      </c>
      <c r="D5" s="1">
        <v>25</v>
      </c>
      <c r="E5" s="26">
        <v>0</v>
      </c>
      <c r="F5" s="26">
        <f>Calculations_Other[[#This Row],[Average '# per week]]*Calculations_Other[[#This Row],[Average number of weeks]]</f>
        <v>336</v>
      </c>
      <c r="G5" s="1">
        <f>Calculations_Other[[#This Row],[Average '# per week]]*Calculations_Other[[#This Row],[Average number of weeks]]*Calculations_Other[[#This Row],[Youth In attendance]]</f>
        <v>8400</v>
      </c>
      <c r="H5" s="2"/>
      <c r="I5" s="1">
        <f>Calculations_Other[[#This Row],[Average '# per week]]*Calculations_Other[[#This Row],[Average number of weeks]]*Calculations_Other[[#This Row],[Adults in attendance]]</f>
        <v>0</v>
      </c>
      <c r="J5" s="1"/>
      <c r="K5" s="1"/>
      <c r="L5" s="1"/>
    </row>
    <row r="6" spans="1:12" ht="36.950000000000003" customHeight="1" x14ac:dyDescent="0.2">
      <c r="A6" s="28" t="s">
        <v>476</v>
      </c>
      <c r="B6" s="1">
        <v>2</v>
      </c>
      <c r="C6">
        <v>42</v>
      </c>
      <c r="D6" s="1"/>
      <c r="E6" s="26">
        <v>12</v>
      </c>
      <c r="F6" s="26">
        <f>Calculations_Other[[#This Row],[Average '# per week]]*Calculations_Other[[#This Row],[Average number of weeks]]</f>
        <v>84</v>
      </c>
      <c r="G6" s="1">
        <f>Calculations_Other[[#This Row],[Average '# per week]]*Calculations_Other[[#This Row],[Average number of weeks]]*Calculations_Other[[#This Row],[Youth In attendance]]</f>
        <v>0</v>
      </c>
      <c r="H6" s="2"/>
      <c r="I6" s="1">
        <f>Calculations_Other[[#This Row],[Average '# per week]]*Calculations_Other[[#This Row],[Average number of weeks]]*Calculations_Other[[#This Row],[Adults in attendance]]</f>
        <v>1008</v>
      </c>
      <c r="J6" s="1"/>
      <c r="K6" s="1"/>
      <c r="L6" s="1"/>
    </row>
    <row r="7" spans="1:12" x14ac:dyDescent="0.2">
      <c r="A7" s="28" t="s">
        <v>477</v>
      </c>
      <c r="B7" s="1">
        <v>2</v>
      </c>
      <c r="C7">
        <v>42</v>
      </c>
      <c r="D7" s="1">
        <v>25</v>
      </c>
      <c r="E7" s="26">
        <v>15</v>
      </c>
      <c r="F7" s="26">
        <f>Calculations_Other[[#This Row],[Average '# per week]]*Calculations_Other[[#This Row],[Average number of weeks]]</f>
        <v>84</v>
      </c>
      <c r="G7" s="1">
        <f>Calculations_Other[[#This Row],[Average '# per week]]*Calculations_Other[[#This Row],[Average number of weeks]]*Calculations_Other[[#This Row],[Youth In attendance]]</f>
        <v>2100</v>
      </c>
      <c r="H7" s="2"/>
      <c r="I7" s="1">
        <f>Calculations_Other[[#This Row],[Average '# per week]]*Calculations_Other[[#This Row],[Average number of weeks]]*Calculations_Other[[#This Row],[Adults in attendance]]</f>
        <v>1260</v>
      </c>
      <c r="J7" s="1"/>
      <c r="K7" s="1"/>
      <c r="L7" s="1"/>
    </row>
    <row r="8" spans="1:12" x14ac:dyDescent="0.2">
      <c r="A8" s="32" t="s">
        <v>478</v>
      </c>
      <c r="B8" s="33">
        <f>SUM(B5:B7)</f>
        <v>12</v>
      </c>
      <c r="C8" s="31"/>
      <c r="D8" s="31"/>
      <c r="E8" s="31"/>
      <c r="F8" s="33">
        <f t="shared" ref="F8:I8" si="1">SUM(F5:F7)</f>
        <v>504</v>
      </c>
      <c r="G8" s="33">
        <f t="shared" si="1"/>
        <v>10500</v>
      </c>
      <c r="H8" s="33">
        <f t="shared" si="1"/>
        <v>0</v>
      </c>
      <c r="I8" s="33">
        <f t="shared" si="1"/>
        <v>2268</v>
      </c>
      <c r="J8" s="1"/>
      <c r="K8" s="1"/>
      <c r="L8" s="1"/>
    </row>
    <row r="9" spans="1:12" x14ac:dyDescent="0.2">
      <c r="A9" s="24"/>
      <c r="B9" s="1"/>
      <c r="C9" s="1"/>
      <c r="D9" s="1"/>
      <c r="E9" s="26"/>
      <c r="F9" s="26">
        <f>Calculations_Other[[#This Row],[Average '# per week]]*Calculations_Other[[#This Row],[Average number of weeks]]</f>
        <v>0</v>
      </c>
      <c r="G9" s="1">
        <f>Calculations_Other[[#This Row],[Average '# per week]]*Calculations_Other[[#This Row],[Average number of weeks]]*Calculations_Other[[#This Row],[Youth In attendance]]</f>
        <v>0</v>
      </c>
      <c r="H9" s="2"/>
      <c r="I9" s="1">
        <f>Calculations_Other[[#This Row],[Average '# per week]]*Calculations_Other[[#This Row],[Average number of weeks]]*Calculations_Other[[#This Row],[Adults in attendance]]</f>
        <v>0</v>
      </c>
      <c r="J9" s="1"/>
      <c r="K9" s="1"/>
      <c r="L9" s="1"/>
    </row>
    <row r="10" spans="1:12" x14ac:dyDescent="0.2">
      <c r="A10" s="24"/>
      <c r="B10" s="1"/>
      <c r="C10" s="1"/>
      <c r="D10" s="1"/>
      <c r="E10" s="26"/>
      <c r="F10" s="26">
        <f>Calculations_Other[[#This Row],[Average '# per week]]*Calculations_Other[[#This Row],[Average number of weeks]]</f>
        <v>0</v>
      </c>
      <c r="G10" s="1">
        <f>Calculations_Other[[#This Row],[Average '# per week]]*Calculations_Other[[#This Row],[Average number of weeks]]*Calculations_Other[[#This Row],[Youth In attendance]]</f>
        <v>0</v>
      </c>
      <c r="H10" s="2"/>
      <c r="I10" s="1">
        <f>Calculations_Other[[#This Row],[Average '# per week]]*Calculations_Other[[#This Row],[Average number of weeks]]*Calculations_Other[[#This Row],[Adults in attendance]]</f>
        <v>0</v>
      </c>
      <c r="J10" s="1"/>
      <c r="K10" s="1"/>
      <c r="L10" s="1"/>
    </row>
    <row r="11" spans="1:12" x14ac:dyDescent="0.2">
      <c r="A11" s="24"/>
      <c r="B11" s="1"/>
      <c r="C11" s="1"/>
      <c r="D11" s="26"/>
      <c r="E11" s="26"/>
      <c r="F11" s="26"/>
      <c r="G11" s="1"/>
      <c r="H11" s="2"/>
      <c r="I11" s="1"/>
      <c r="J11" s="1"/>
      <c r="K11" s="1"/>
      <c r="L11" s="25"/>
    </row>
    <row r="12" spans="1:12" x14ac:dyDescent="0.2">
      <c r="A12"/>
      <c r="B12" s="1"/>
      <c r="C12" s="1"/>
      <c r="D12" s="1"/>
      <c r="E12" s="26"/>
      <c r="F12" s="26"/>
      <c r="G12" s="1"/>
      <c r="H12" s="2"/>
      <c r="I12" s="1"/>
      <c r="J12" s="1"/>
      <c r="K12" s="1"/>
      <c r="L12" s="1"/>
    </row>
    <row r="13" spans="1:12" x14ac:dyDescent="0.2">
      <c r="A13"/>
      <c r="B13" s="1"/>
      <c r="C13" s="1"/>
      <c r="D13" s="1"/>
      <c r="E13" s="26"/>
      <c r="F13" s="26"/>
      <c r="G13" s="1"/>
      <c r="H13" s="2"/>
      <c r="I13" s="1"/>
      <c r="J13" s="1"/>
      <c r="K13" s="1"/>
      <c r="L13" s="1"/>
    </row>
    <row r="14" spans="1:12" x14ac:dyDescent="0.2">
      <c r="A14"/>
      <c r="B14" s="1"/>
      <c r="C14" s="1"/>
      <c r="D14" s="1"/>
      <c r="E14" s="26"/>
      <c r="F14" s="26"/>
      <c r="G14" s="1"/>
      <c r="H14" s="2"/>
      <c r="J14" s="1"/>
      <c r="K14" s="1"/>
      <c r="L14" s="1"/>
    </row>
    <row r="15" spans="1:12" x14ac:dyDescent="0.2">
      <c r="A15" s="24"/>
      <c r="B15" s="1"/>
      <c r="C15" s="1"/>
      <c r="D15" s="1"/>
      <c r="E15" s="26"/>
      <c r="F15" s="26"/>
      <c r="G15" s="1"/>
      <c r="H15" s="2"/>
      <c r="I15" s="1"/>
      <c r="J15" s="1"/>
      <c r="K15" s="1"/>
      <c r="L15" s="1"/>
    </row>
    <row r="16" spans="1:12" x14ac:dyDescent="0.2">
      <c r="A16" s="24"/>
      <c r="B16" s="1"/>
      <c r="C16" s="1"/>
      <c r="D16" s="1"/>
      <c r="E16" s="26"/>
      <c r="F16" s="26"/>
      <c r="G16" s="1"/>
      <c r="H16" s="2"/>
      <c r="I16" s="1"/>
      <c r="J16" s="1"/>
      <c r="K16" s="1"/>
      <c r="L16" s="1"/>
    </row>
    <row r="17" spans="1:14" x14ac:dyDescent="0.2">
      <c r="A17" s="24"/>
      <c r="B17" s="1"/>
      <c r="C17" s="1"/>
      <c r="D17" s="1"/>
      <c r="E17" s="26"/>
      <c r="F17" s="26"/>
      <c r="G17" s="1"/>
      <c r="H17" s="2"/>
      <c r="I17" s="1"/>
      <c r="J17" s="1"/>
      <c r="K17" s="1"/>
      <c r="L17" s="1"/>
    </row>
    <row r="18" spans="1:14" x14ac:dyDescent="0.2">
      <c r="A18" s="24"/>
      <c r="B18" s="1"/>
      <c r="C18" s="1"/>
      <c r="D18" s="1"/>
      <c r="E18" s="26"/>
      <c r="F18" s="26"/>
      <c r="G18" s="1"/>
      <c r="H18" s="2"/>
      <c r="I18" s="1"/>
      <c r="J18" s="1"/>
      <c r="K18" s="1"/>
      <c r="L18" s="1"/>
    </row>
    <row r="19" spans="1:14" x14ac:dyDescent="0.2">
      <c r="A19" s="24"/>
      <c r="B19" s="1"/>
      <c r="C19" s="1"/>
      <c r="D19" s="1"/>
      <c r="E19" s="25"/>
      <c r="F19" s="25"/>
      <c r="G19" s="1"/>
      <c r="H19" s="2"/>
      <c r="I19" s="1"/>
      <c r="J19" s="1"/>
      <c r="K19" s="1"/>
      <c r="L19" s="1"/>
    </row>
    <row r="20" spans="1:14" x14ac:dyDescent="0.2">
      <c r="A20" s="24"/>
      <c r="B20" s="1"/>
      <c r="C20" s="1"/>
      <c r="D20" s="1"/>
      <c r="E20" s="25"/>
      <c r="F20" s="25"/>
      <c r="G20" s="1"/>
      <c r="H20" s="2"/>
      <c r="I20" s="1"/>
      <c r="J20" s="1"/>
      <c r="K20" s="1"/>
      <c r="L20" s="1"/>
    </row>
    <row r="21" spans="1:14" x14ac:dyDescent="0.2">
      <c r="A21" s="24"/>
      <c r="B21" s="1"/>
      <c r="C21" s="1"/>
      <c r="D21" s="1"/>
      <c r="E21" s="1"/>
      <c r="F21" s="1"/>
      <c r="G21" s="1"/>
      <c r="H21" s="2"/>
      <c r="I21" s="1"/>
      <c r="J21" s="1"/>
      <c r="K21" s="1"/>
      <c r="L21" s="1"/>
    </row>
    <row r="22" spans="1:14" x14ac:dyDescent="0.2">
      <c r="A22" s="24"/>
      <c r="B22" s="1"/>
      <c r="C22" s="1"/>
      <c r="D22" s="1"/>
      <c r="E22" s="1"/>
      <c r="F22" s="1"/>
      <c r="G22" s="1"/>
      <c r="H22" s="2"/>
      <c r="I22" s="1"/>
      <c r="J22" s="1"/>
      <c r="K22" s="1"/>
      <c r="L22" s="1"/>
    </row>
    <row r="23" spans="1:14" x14ac:dyDescent="0.2">
      <c r="A23" s="24"/>
      <c r="B23" s="1"/>
      <c r="C23" s="1"/>
      <c r="D23" s="1"/>
      <c r="E23" s="1"/>
      <c r="F23" s="1"/>
      <c r="G23" s="1"/>
      <c r="H23" s="2"/>
      <c r="I23" s="1"/>
      <c r="J23" s="1"/>
      <c r="K23" s="1"/>
      <c r="L23" s="1"/>
    </row>
    <row r="24" spans="1:14" x14ac:dyDescent="0.2">
      <c r="A24" s="24"/>
      <c r="B24" s="1"/>
      <c r="C24" s="1"/>
      <c r="D24" s="1"/>
      <c r="E24" s="1"/>
      <c r="F24" s="1"/>
      <c r="G24" s="1"/>
      <c r="H24" s="2"/>
      <c r="I24" s="1"/>
      <c r="J24" s="1"/>
      <c r="K24" s="1"/>
      <c r="L24" s="1"/>
    </row>
    <row r="25" spans="1:14" x14ac:dyDescent="0.2">
      <c r="A25" s="24"/>
      <c r="B25" s="1"/>
      <c r="C25" s="1"/>
      <c r="D25" s="1"/>
      <c r="E25" s="1"/>
      <c r="F25" s="1"/>
      <c r="G25" s="1"/>
      <c r="H25" s="2"/>
      <c r="I25" s="1"/>
      <c r="J25" s="1"/>
      <c r="K25" s="1"/>
      <c r="L25" s="1"/>
    </row>
    <row r="26" spans="1:14" x14ac:dyDescent="0.2">
      <c r="A26" s="24"/>
      <c r="B26" s="1"/>
      <c r="C26" s="1"/>
      <c r="D26" s="1"/>
      <c r="E26" s="1"/>
      <c r="F26" s="1"/>
      <c r="G26" s="1"/>
      <c r="H26" s="2"/>
      <c r="I26" s="1"/>
      <c r="J26" s="1"/>
      <c r="K26" s="1"/>
      <c r="L26" s="1"/>
      <c r="M26" s="1"/>
      <c r="N26" s="1"/>
    </row>
    <row r="27" spans="1:14" x14ac:dyDescent="0.2">
      <c r="A27" s="24"/>
      <c r="B27" s="1"/>
      <c r="C27" s="1"/>
      <c r="D27" s="1"/>
      <c r="E27" s="1"/>
      <c r="F27" s="1"/>
      <c r="G27" s="1"/>
      <c r="H27" s="2"/>
      <c r="I27" s="1"/>
      <c r="J27" s="1"/>
      <c r="K27" s="1"/>
      <c r="L27" s="1"/>
      <c r="M27" s="1"/>
      <c r="N27" s="1"/>
    </row>
    <row r="28" spans="1:14" x14ac:dyDescent="0.2">
      <c r="A28" s="24"/>
      <c r="B28" s="1"/>
      <c r="C28" s="1"/>
      <c r="D28" s="1"/>
      <c r="E28" s="1"/>
      <c r="F28" s="1"/>
      <c r="G28" s="1"/>
      <c r="H28" s="2"/>
      <c r="I28" s="1"/>
      <c r="J28" s="1"/>
      <c r="K28" s="1"/>
      <c r="L28" s="1"/>
      <c r="M28" s="1"/>
      <c r="N28" s="1"/>
    </row>
    <row r="29" spans="1:14" x14ac:dyDescent="0.2">
      <c r="A29" s="24"/>
      <c r="B29" s="1"/>
      <c r="C29" s="1"/>
      <c r="D29" s="1"/>
      <c r="E29" s="1"/>
      <c r="F29" s="1"/>
      <c r="G29" s="1"/>
      <c r="H29" s="2"/>
      <c r="I29" s="1"/>
      <c r="J29" s="1"/>
      <c r="K29" s="1"/>
      <c r="L29" s="1"/>
      <c r="M29" s="1"/>
      <c r="N29" s="1"/>
    </row>
    <row r="30" spans="1:14" x14ac:dyDescent="0.2">
      <c r="A30" s="24"/>
      <c r="B30" s="1"/>
      <c r="C30" s="1"/>
      <c r="D30" s="1"/>
      <c r="E30" s="1"/>
      <c r="F30" s="1"/>
      <c r="G30" s="1"/>
      <c r="H30" s="2"/>
      <c r="I30" s="1"/>
      <c r="J30" s="1"/>
      <c r="K30" s="1"/>
      <c r="L30" s="1"/>
      <c r="M30" s="1"/>
      <c r="N30" s="1"/>
    </row>
    <row r="31" spans="1:14" x14ac:dyDescent="0.2">
      <c r="A31" s="24"/>
      <c r="B31" s="1"/>
      <c r="C31" s="1"/>
      <c r="D31" s="1"/>
      <c r="E31" s="1"/>
      <c r="F31" s="1"/>
      <c r="G31" s="1"/>
      <c r="H31" s="2"/>
      <c r="I31" s="1"/>
      <c r="J31" s="1"/>
      <c r="K31" s="1"/>
      <c r="L31" s="1"/>
      <c r="M31" s="1"/>
      <c r="N31" s="1"/>
    </row>
    <row r="32" spans="1:14" x14ac:dyDescent="0.2">
      <c r="A32" s="24"/>
      <c r="B32" s="1"/>
      <c r="C32" s="1"/>
      <c r="D32" s="1"/>
      <c r="E32" s="1"/>
      <c r="F32" s="1"/>
      <c r="G32" s="1"/>
      <c r="H32" s="2"/>
      <c r="I32" s="1"/>
      <c r="J32" s="1"/>
      <c r="K32" s="1"/>
      <c r="L32" s="1"/>
      <c r="M32" s="1"/>
      <c r="N32" s="1"/>
    </row>
    <row r="33" spans="1:14" x14ac:dyDescent="0.2">
      <c r="A33" s="24"/>
      <c r="B33" s="1"/>
      <c r="C33" s="1"/>
      <c r="D33" s="1"/>
      <c r="E33" s="1"/>
      <c r="F33" s="1"/>
      <c r="G33" s="1"/>
      <c r="H33" s="2"/>
      <c r="I33" s="1"/>
      <c r="J33" s="1"/>
      <c r="K33" s="1"/>
      <c r="L33" s="1"/>
      <c r="M33" s="1"/>
      <c r="N33" s="1"/>
    </row>
    <row r="34" spans="1:14" x14ac:dyDescent="0.2">
      <c r="A34" s="24"/>
      <c r="B34" s="1"/>
      <c r="C34" s="1"/>
      <c r="D34" s="1"/>
      <c r="E34" s="1"/>
      <c r="F34" s="1"/>
      <c r="G34" s="1"/>
      <c r="H34" s="2"/>
      <c r="I34" s="1"/>
      <c r="J34" s="1"/>
      <c r="K34" s="1"/>
      <c r="L34" s="1"/>
      <c r="M34" s="1"/>
      <c r="N34" s="1"/>
    </row>
    <row r="35" spans="1:14" x14ac:dyDescent="0.2">
      <c r="A35" s="24"/>
      <c r="B35" s="1"/>
      <c r="C35" s="1"/>
      <c r="D35" s="1"/>
      <c r="E35" s="1"/>
      <c r="F35" s="1"/>
      <c r="G35" s="1"/>
      <c r="H35" s="2"/>
      <c r="I35" s="1"/>
      <c r="J35" s="1"/>
      <c r="K35" s="1"/>
      <c r="L35" s="1"/>
      <c r="M35" s="1"/>
      <c r="N35" s="1"/>
    </row>
    <row r="36" spans="1:14" x14ac:dyDescent="0.2">
      <c r="A36" s="24"/>
      <c r="B36" s="1"/>
      <c r="C36" s="1"/>
      <c r="D36" s="1"/>
      <c r="E36" s="1"/>
      <c r="F36" s="1"/>
      <c r="G36" s="1"/>
      <c r="H36" s="2"/>
      <c r="I36" s="1"/>
      <c r="J36" s="1"/>
      <c r="K36" s="1"/>
      <c r="L36" s="1"/>
      <c r="M36" s="1"/>
      <c r="N36" s="1"/>
    </row>
    <row r="37" spans="1:14" x14ac:dyDescent="0.2">
      <c r="A37" s="24"/>
      <c r="B37" s="1"/>
      <c r="C37" s="1"/>
      <c r="D37" s="1"/>
      <c r="E37" s="1"/>
      <c r="F37" s="1"/>
      <c r="G37" s="1"/>
      <c r="H37" s="2"/>
      <c r="I37" s="1"/>
      <c r="J37" s="1"/>
      <c r="K37" s="1"/>
      <c r="L37" s="1"/>
      <c r="M37" s="1"/>
      <c r="N37" s="1"/>
    </row>
    <row r="38" spans="1:14" x14ac:dyDescent="0.2">
      <c r="A38" s="24"/>
      <c r="B38" s="1"/>
      <c r="C38" s="1"/>
      <c r="D38" s="1"/>
      <c r="E38" s="1"/>
      <c r="F38" s="1"/>
      <c r="G38" s="1"/>
      <c r="H38" s="2"/>
      <c r="I38" s="1"/>
      <c r="J38" s="1"/>
      <c r="K38" s="1"/>
      <c r="L38" s="1"/>
      <c r="M38" s="1"/>
      <c r="N38" s="1"/>
    </row>
    <row r="39" spans="1:14" x14ac:dyDescent="0.2">
      <c r="A39" s="24"/>
      <c r="B39" s="1"/>
      <c r="C39" s="1"/>
      <c r="D39" s="1"/>
      <c r="E39" s="1"/>
      <c r="F39" s="1"/>
      <c r="G39" s="1"/>
      <c r="H39" s="2"/>
      <c r="I39" s="1"/>
      <c r="J39" s="1"/>
      <c r="K39" s="1"/>
      <c r="L39" s="1"/>
      <c r="M39" s="1"/>
      <c r="N39" s="1"/>
    </row>
    <row r="40" spans="1:14" x14ac:dyDescent="0.2">
      <c r="A40" s="24"/>
      <c r="B40" s="1"/>
      <c r="C40" s="1"/>
      <c r="D40" s="1"/>
      <c r="E40" s="1"/>
      <c r="F40" s="1"/>
      <c r="G40" s="1"/>
      <c r="H40" s="2"/>
      <c r="I40" s="1"/>
      <c r="J40" s="1"/>
      <c r="K40" s="1"/>
      <c r="L40" s="1"/>
      <c r="M40" s="1"/>
      <c r="N40" s="1"/>
    </row>
    <row r="41" spans="1:14" x14ac:dyDescent="0.2">
      <c r="A41" s="24"/>
      <c r="B41" s="1"/>
      <c r="C41" s="1"/>
      <c r="D41" s="1"/>
      <c r="E41" s="1"/>
      <c r="F41" s="1"/>
      <c r="G41" s="1"/>
      <c r="H41" s="2"/>
      <c r="I41" s="1"/>
      <c r="J41" s="1"/>
      <c r="K41" s="1"/>
      <c r="L41" s="1"/>
      <c r="M41" s="1"/>
      <c r="N41" s="1"/>
    </row>
    <row r="42" spans="1:14" x14ac:dyDescent="0.2">
      <c r="A42" s="24"/>
      <c r="B42" s="1"/>
      <c r="C42" s="1"/>
      <c r="D42" s="1"/>
      <c r="E42" s="1"/>
      <c r="F42" s="1"/>
      <c r="G42" s="1"/>
      <c r="H42" s="2"/>
      <c r="I42" s="1"/>
      <c r="J42" s="1"/>
      <c r="K42" s="1"/>
      <c r="L42" s="1"/>
      <c r="M42" s="1"/>
      <c r="N42" s="1"/>
    </row>
    <row r="43" spans="1:14" x14ac:dyDescent="0.2">
      <c r="A43" s="24"/>
      <c r="B43" s="1"/>
      <c r="C43" s="1"/>
      <c r="D43" s="1"/>
      <c r="E43" s="1"/>
      <c r="F43" s="1"/>
      <c r="G43" s="1"/>
      <c r="H43" s="2"/>
      <c r="I43" s="1"/>
      <c r="J43" s="1"/>
      <c r="K43" s="1"/>
      <c r="L43" s="1"/>
      <c r="M43" s="1"/>
      <c r="N43" s="1"/>
    </row>
    <row r="44" spans="1:14" x14ac:dyDescent="0.2">
      <c r="A44" s="24"/>
      <c r="B44" s="1"/>
      <c r="C44" s="1"/>
      <c r="D44" s="1"/>
      <c r="E44" s="1"/>
      <c r="F44" s="1"/>
      <c r="G44" s="1"/>
      <c r="H44" s="2"/>
      <c r="I44" s="1"/>
      <c r="J44" s="1"/>
      <c r="K44" s="1"/>
      <c r="L44" s="1"/>
      <c r="M44" s="1"/>
      <c r="N44" s="1"/>
    </row>
    <row r="45" spans="1:14" x14ac:dyDescent="0.2">
      <c r="A45" s="24"/>
      <c r="B45" s="1"/>
      <c r="C45" s="1"/>
      <c r="D45" s="1"/>
      <c r="E45" s="1"/>
      <c r="F45" s="1"/>
      <c r="G45" s="1"/>
      <c r="H45" s="2"/>
      <c r="I45" s="1"/>
      <c r="J45" s="1"/>
      <c r="K45" s="1"/>
      <c r="L45" s="1"/>
      <c r="M45" s="1"/>
      <c r="N45" s="1"/>
    </row>
    <row r="46" spans="1:14" x14ac:dyDescent="0.2">
      <c r="A46" s="24"/>
      <c r="B46" s="1"/>
      <c r="C46" s="1"/>
      <c r="D46" s="1"/>
      <c r="E46" s="1"/>
      <c r="F46" s="1"/>
      <c r="G46" s="1"/>
      <c r="H46" s="2"/>
      <c r="I46" s="1"/>
      <c r="J46" s="1"/>
      <c r="K46" s="1"/>
      <c r="L46" s="1"/>
      <c r="M46" s="1"/>
      <c r="N46" s="1"/>
    </row>
    <row r="47" spans="1:14" x14ac:dyDescent="0.2">
      <c r="A47" s="24"/>
      <c r="B47" s="1"/>
      <c r="C47" s="1"/>
      <c r="D47" s="1"/>
      <c r="E47" s="1"/>
      <c r="F47" s="1"/>
      <c r="G47" s="1"/>
      <c r="H47" s="2"/>
      <c r="I47" s="1"/>
      <c r="J47" s="1"/>
      <c r="K47" s="1"/>
      <c r="L47" s="1"/>
      <c r="M47" s="1"/>
      <c r="N47" s="1"/>
    </row>
    <row r="48" spans="1:14" x14ac:dyDescent="0.2">
      <c r="A48" s="24"/>
      <c r="B48" s="1"/>
      <c r="C48" s="1"/>
      <c r="D48" s="1"/>
      <c r="E48" s="1"/>
      <c r="F48" s="1"/>
      <c r="G48" s="1"/>
      <c r="H48" s="2"/>
      <c r="I48" s="1"/>
      <c r="J48" s="1"/>
      <c r="K48" s="1"/>
      <c r="L48" s="1"/>
      <c r="M48" s="1"/>
      <c r="N48" s="1"/>
    </row>
    <row r="49" spans="1:14" x14ac:dyDescent="0.2">
      <c r="A49" s="24"/>
      <c r="B49" s="1"/>
      <c r="C49" s="1"/>
      <c r="D49" s="1"/>
      <c r="E49" s="1"/>
      <c r="F49" s="1"/>
      <c r="G49" s="1"/>
      <c r="H49" s="2"/>
      <c r="I49" s="1"/>
      <c r="J49" s="1"/>
      <c r="K49" s="1"/>
      <c r="L49" s="1"/>
      <c r="M49" s="1"/>
      <c r="N49" s="1"/>
    </row>
    <row r="50" spans="1:14" x14ac:dyDescent="0.2">
      <c r="A50" s="24"/>
      <c r="B50" s="1"/>
      <c r="C50" s="1"/>
      <c r="D50" s="1"/>
      <c r="E50" s="1"/>
      <c r="F50" s="1"/>
      <c r="G50" s="1"/>
      <c r="H50" s="2"/>
      <c r="I50" s="1"/>
      <c r="J50" s="1"/>
      <c r="K50" s="1"/>
      <c r="L50" s="1"/>
      <c r="M50" s="1"/>
      <c r="N50" s="1"/>
    </row>
    <row r="51" spans="1:14" x14ac:dyDescent="0.2">
      <c r="A51" s="24"/>
      <c r="B51" s="1"/>
      <c r="C51" s="1"/>
      <c r="D51" s="1"/>
      <c r="E51" s="1"/>
      <c r="F51" s="1"/>
      <c r="G51" s="1"/>
      <c r="H51" s="2"/>
      <c r="I51" s="1"/>
      <c r="J51" s="1"/>
      <c r="K51" s="1"/>
      <c r="L51" s="1"/>
      <c r="M51" s="1"/>
      <c r="N51" s="1"/>
    </row>
    <row r="52" spans="1:14" x14ac:dyDescent="0.2">
      <c r="A52" s="24"/>
      <c r="B52" s="1"/>
      <c r="C52" s="1"/>
      <c r="D52" s="1"/>
      <c r="E52" s="1"/>
      <c r="F52" s="1"/>
      <c r="G52" s="1"/>
      <c r="H52" s="2"/>
      <c r="I52" s="1"/>
      <c r="J52" s="1"/>
      <c r="K52" s="1"/>
      <c r="L52" s="1"/>
      <c r="M52" s="1"/>
      <c r="N52" s="1"/>
    </row>
    <row r="53" spans="1:14" x14ac:dyDescent="0.2">
      <c r="A53" s="24"/>
      <c r="B53" s="1"/>
      <c r="C53" s="1"/>
      <c r="D53" s="1"/>
      <c r="E53" s="1"/>
      <c r="F53" s="1"/>
      <c r="G53" s="1"/>
      <c r="H53" s="2"/>
      <c r="I53" s="1"/>
      <c r="J53" s="1"/>
      <c r="K53" s="1"/>
      <c r="L53" s="1"/>
      <c r="M53" s="1"/>
      <c r="N53" s="1"/>
    </row>
    <row r="54" spans="1:14" x14ac:dyDescent="0.2">
      <c r="A54" s="24"/>
      <c r="B54" s="1"/>
      <c r="C54" s="1"/>
      <c r="D54" s="1"/>
      <c r="E54" s="1"/>
      <c r="F54" s="1"/>
      <c r="G54" s="1"/>
      <c r="H54" s="2"/>
      <c r="I54" s="1"/>
      <c r="J54" s="1"/>
      <c r="K54" s="1"/>
      <c r="L54" s="1"/>
      <c r="M54" s="1"/>
      <c r="N54" s="1"/>
    </row>
    <row r="55" spans="1:14" x14ac:dyDescent="0.2">
      <c r="A55" s="24"/>
      <c r="B55" s="1"/>
      <c r="C55" s="1"/>
      <c r="D55" s="1"/>
      <c r="E55" s="1"/>
      <c r="F55" s="1"/>
      <c r="G55" s="1"/>
      <c r="H55" s="2"/>
      <c r="I55" s="1"/>
      <c r="J55" s="1"/>
      <c r="K55" s="1"/>
      <c r="L55" s="1"/>
      <c r="M55" s="1"/>
      <c r="N55" s="1"/>
    </row>
    <row r="56" spans="1:14" x14ac:dyDescent="0.2">
      <c r="A56" s="24"/>
      <c r="B56" s="1"/>
      <c r="C56" s="1"/>
      <c r="D56" s="1"/>
      <c r="E56" s="1"/>
      <c r="F56" s="1"/>
      <c r="G56" s="1"/>
      <c r="H56" s="2"/>
      <c r="I56" s="1"/>
      <c r="J56" s="1"/>
      <c r="K56" s="1"/>
      <c r="L56" s="1"/>
      <c r="M56" s="1"/>
      <c r="N56" s="1"/>
    </row>
    <row r="57" spans="1:14" x14ac:dyDescent="0.2">
      <c r="A57" s="24"/>
      <c r="B57" s="1"/>
      <c r="C57" s="1"/>
      <c r="D57" s="1"/>
      <c r="E57" s="1"/>
      <c r="F57" s="1"/>
      <c r="G57" s="1"/>
      <c r="H57" s="2"/>
      <c r="I57" s="1"/>
      <c r="J57" s="1"/>
      <c r="K57" s="1"/>
      <c r="L57" s="1"/>
      <c r="M57" s="1"/>
      <c r="N57" s="1"/>
    </row>
    <row r="58" spans="1:14" x14ac:dyDescent="0.2">
      <c r="A58" s="24"/>
      <c r="B58" s="1"/>
      <c r="C58" s="1"/>
      <c r="D58" s="1"/>
      <c r="E58" s="1"/>
      <c r="F58" s="1"/>
      <c r="G58" s="1"/>
      <c r="H58" s="2"/>
      <c r="I58" s="1"/>
      <c r="J58" s="1"/>
      <c r="K58" s="1"/>
      <c r="L58" s="1"/>
      <c r="M58" s="1"/>
      <c r="N58" s="1"/>
    </row>
    <row r="59" spans="1:14" x14ac:dyDescent="0.2">
      <c r="A59" s="24"/>
      <c r="B59" s="1"/>
      <c r="C59" s="1"/>
      <c r="D59" s="1"/>
      <c r="E59" s="1"/>
      <c r="F59" s="1"/>
      <c r="G59" s="1"/>
      <c r="H59" s="2"/>
      <c r="I59" s="1"/>
      <c r="J59" s="1"/>
      <c r="K59" s="1"/>
      <c r="L59" s="1"/>
      <c r="M59" s="1"/>
      <c r="N59" s="1"/>
    </row>
    <row r="60" spans="1:14" x14ac:dyDescent="0.2">
      <c r="A60" s="24"/>
      <c r="B60" s="1"/>
      <c r="C60" s="1"/>
      <c r="D60" s="1"/>
      <c r="E60" s="1"/>
      <c r="F60" s="1"/>
      <c r="G60" s="1"/>
      <c r="H60" s="2"/>
      <c r="I60" s="1"/>
      <c r="J60" s="1"/>
      <c r="K60" s="1"/>
      <c r="L60" s="1"/>
    </row>
    <row r="61" spans="1:14" x14ac:dyDescent="0.2">
      <c r="A61" s="24"/>
      <c r="B61" s="1"/>
      <c r="C61" s="1"/>
      <c r="D61" s="1"/>
      <c r="E61" s="1"/>
      <c r="F61" s="1"/>
      <c r="G61" s="1"/>
      <c r="H61" s="2"/>
      <c r="I61" s="1"/>
      <c r="J61" s="1"/>
      <c r="K61" s="1"/>
      <c r="L61" s="1"/>
    </row>
    <row r="62" spans="1:14" x14ac:dyDescent="0.2">
      <c r="A62" s="24"/>
      <c r="B62" s="1"/>
      <c r="C62" s="1"/>
      <c r="D62" s="1"/>
      <c r="E62" s="1"/>
      <c r="F62" s="1"/>
      <c r="G62" s="1"/>
      <c r="H62" s="2"/>
      <c r="I62" s="1"/>
      <c r="J62" s="1"/>
      <c r="K62" s="1"/>
      <c r="L62" s="1"/>
    </row>
    <row r="63" spans="1:14" x14ac:dyDescent="0.2">
      <c r="A63" s="24"/>
      <c r="B63" s="1"/>
      <c r="C63" s="1"/>
      <c r="D63" s="1"/>
      <c r="E63" s="1"/>
      <c r="F63" s="1"/>
      <c r="G63" s="1"/>
      <c r="H63" s="2"/>
      <c r="I63" s="1"/>
      <c r="J63" s="1"/>
      <c r="K63" s="1"/>
      <c r="L63" s="1"/>
    </row>
    <row r="64" spans="1:14" x14ac:dyDescent="0.2">
      <c r="A64" s="24"/>
      <c r="B64" s="1"/>
      <c r="C64" s="1"/>
      <c r="D64" s="1"/>
      <c r="E64" s="1"/>
      <c r="F64" s="1"/>
      <c r="G64" s="1"/>
      <c r="H64" s="2"/>
      <c r="I64" s="1"/>
      <c r="J64" s="1"/>
      <c r="K64" s="1"/>
      <c r="L64" s="1"/>
    </row>
    <row r="65" spans="1:12" x14ac:dyDescent="0.2">
      <c r="A65" s="24"/>
      <c r="B65" s="1"/>
      <c r="C65" s="1"/>
      <c r="D65" s="1"/>
      <c r="E65" s="1"/>
      <c r="F65" s="1"/>
      <c r="G65" s="1"/>
      <c r="H65" s="2"/>
      <c r="I65" s="1"/>
      <c r="J65" s="1"/>
      <c r="K65" s="1"/>
      <c r="L65" s="1"/>
    </row>
    <row r="66" spans="1:12" x14ac:dyDescent="0.2">
      <c r="A66" s="24"/>
      <c r="B66" s="1"/>
      <c r="C66" s="1"/>
      <c r="D66" s="1"/>
      <c r="E66" s="1"/>
      <c r="F66" s="1"/>
      <c r="G66" s="1"/>
      <c r="H66" s="2"/>
      <c r="I66" s="1"/>
      <c r="J66" s="1"/>
      <c r="K66" s="1"/>
      <c r="L66" s="1"/>
    </row>
    <row r="67" spans="1:12" x14ac:dyDescent="0.2">
      <c r="A67" s="24"/>
      <c r="B67" s="1"/>
      <c r="C67" s="1"/>
      <c r="D67" s="1"/>
      <c r="E67" s="1"/>
      <c r="F67" s="1"/>
      <c r="G67" s="1"/>
      <c r="H67" s="2"/>
      <c r="I67" s="1"/>
      <c r="J67" s="1"/>
      <c r="K67" s="1"/>
      <c r="L67" s="1"/>
    </row>
    <row r="68" spans="1:12" x14ac:dyDescent="0.2">
      <c r="A68" s="24"/>
      <c r="B68" s="1"/>
      <c r="C68" s="1"/>
      <c r="D68" s="1"/>
      <c r="E68" s="1"/>
      <c r="F68" s="1"/>
      <c r="G68" s="1"/>
      <c r="H68" s="2"/>
      <c r="I68" s="1"/>
      <c r="J68" s="1"/>
      <c r="K68" s="1"/>
      <c r="L68" s="1"/>
    </row>
    <row r="69" spans="1:12" x14ac:dyDescent="0.2">
      <c r="A69" s="24"/>
      <c r="B69" s="1"/>
      <c r="C69" s="1"/>
      <c r="D69" s="1"/>
      <c r="E69" s="1"/>
      <c r="F69" s="1"/>
      <c r="G69" s="1"/>
      <c r="H69" s="2"/>
      <c r="I69" s="1"/>
      <c r="J69" s="1"/>
      <c r="K69" s="1"/>
      <c r="L69" s="1"/>
    </row>
    <row r="70" spans="1:12" x14ac:dyDescent="0.2">
      <c r="A70" s="24"/>
      <c r="B70" s="1"/>
      <c r="C70" s="1"/>
      <c r="D70" s="1"/>
      <c r="E70" s="1"/>
      <c r="F70" s="1"/>
      <c r="G70" s="1"/>
      <c r="H70" s="2"/>
      <c r="I70" s="1"/>
      <c r="J70" s="1"/>
      <c r="K70" s="1"/>
      <c r="L70" s="1"/>
    </row>
    <row r="71" spans="1:12" x14ac:dyDescent="0.2">
      <c r="A71" s="24"/>
      <c r="B71" s="1"/>
      <c r="C71" s="1"/>
      <c r="D71" s="1"/>
      <c r="E71" s="1"/>
      <c r="F71" s="1"/>
      <c r="G71" s="1"/>
      <c r="H71" s="2"/>
      <c r="I71" s="1"/>
      <c r="J71" s="1"/>
      <c r="K71" s="1"/>
      <c r="L71" s="1"/>
    </row>
    <row r="72" spans="1:12" x14ac:dyDescent="0.2">
      <c r="A72" s="24"/>
      <c r="B72" s="1"/>
      <c r="C72" s="1"/>
      <c r="D72" s="1"/>
      <c r="E72" s="1"/>
      <c r="F72" s="1"/>
      <c r="G72" s="1"/>
      <c r="H72" s="2"/>
      <c r="I72" s="1"/>
      <c r="J72" s="1"/>
      <c r="K72" s="1"/>
      <c r="L72" s="1"/>
    </row>
    <row r="73" spans="1:12" x14ac:dyDescent="0.2">
      <c r="A73" s="24"/>
      <c r="B73" s="1"/>
      <c r="C73" s="1"/>
      <c r="D73" s="1"/>
      <c r="E73" s="1"/>
      <c r="F73" s="1"/>
      <c r="G73" s="1"/>
      <c r="H73" s="2"/>
      <c r="I73" s="1"/>
      <c r="J73" s="1"/>
      <c r="K73" s="1"/>
      <c r="L73" s="1"/>
    </row>
    <row r="74" spans="1:12" x14ac:dyDescent="0.2">
      <c r="A74" s="24"/>
      <c r="B74" s="1"/>
      <c r="C74" s="1"/>
      <c r="D74" s="1"/>
      <c r="E74" s="1"/>
      <c r="F74" s="1"/>
      <c r="G74" s="1"/>
      <c r="H74" s="2"/>
      <c r="I74" s="1"/>
      <c r="J74" s="1"/>
      <c r="K74" s="1"/>
      <c r="L74" s="1"/>
    </row>
    <row r="75" spans="1:12" x14ac:dyDescent="0.2">
      <c r="A75" s="24"/>
      <c r="B75" s="1"/>
      <c r="C75" s="1"/>
      <c r="D75" s="1"/>
      <c r="E75" s="1"/>
      <c r="F75" s="1"/>
      <c r="G75" s="1"/>
      <c r="H75" s="2"/>
      <c r="I75" s="1"/>
      <c r="J75" s="1"/>
      <c r="K75" s="1"/>
      <c r="L75" s="1"/>
    </row>
    <row r="76" spans="1:12" x14ac:dyDescent="0.2">
      <c r="A76" s="24"/>
      <c r="B76" s="1"/>
      <c r="C76" s="1"/>
      <c r="D76" s="1"/>
      <c r="E76" s="1"/>
      <c r="F76" s="1"/>
      <c r="G76" s="1"/>
      <c r="H76" s="2"/>
      <c r="I76" s="1"/>
      <c r="J76" s="1"/>
      <c r="K76" s="1"/>
      <c r="L76" s="1"/>
    </row>
    <row r="77" spans="1:12" x14ac:dyDescent="0.2">
      <c r="A77" s="24"/>
      <c r="B77" s="1"/>
      <c r="C77" s="1"/>
      <c r="D77" s="1"/>
      <c r="E77" s="1"/>
      <c r="F77" s="1"/>
      <c r="G77" s="1"/>
      <c r="H77" s="2"/>
      <c r="I77" s="1"/>
      <c r="J77" s="1"/>
      <c r="K77" s="1"/>
      <c r="L77" s="1"/>
    </row>
    <row r="78" spans="1:12" x14ac:dyDescent="0.2">
      <c r="A78" s="24"/>
      <c r="B78" s="1"/>
      <c r="C78" s="1"/>
      <c r="D78" s="1"/>
      <c r="E78" s="1"/>
      <c r="F78" s="1"/>
      <c r="G78" s="1"/>
      <c r="H78" s="2"/>
      <c r="I78" s="1"/>
      <c r="J78" s="1"/>
      <c r="K78" s="1"/>
      <c r="L78" s="1"/>
    </row>
    <row r="79" spans="1:12" x14ac:dyDescent="0.2">
      <c r="A79" s="24"/>
      <c r="B79" s="1"/>
      <c r="C79" s="1"/>
      <c r="D79" s="1"/>
      <c r="E79" s="1"/>
      <c r="F79" s="1"/>
      <c r="G79" s="1"/>
      <c r="H79" s="2"/>
      <c r="I79" s="1"/>
      <c r="J79" s="1"/>
      <c r="K79" s="1"/>
      <c r="L79" s="1"/>
    </row>
    <row r="80" spans="1:12" x14ac:dyDescent="0.2">
      <c r="A80" s="24"/>
      <c r="B80" s="1"/>
      <c r="C80" s="1"/>
      <c r="D80" s="1"/>
      <c r="E80" s="1"/>
      <c r="F80" s="1"/>
      <c r="G80" s="1"/>
      <c r="H80" s="2"/>
      <c r="I80" s="1"/>
      <c r="J80" s="1"/>
      <c r="K80" s="1"/>
      <c r="L80" s="1"/>
    </row>
    <row r="81" spans="1:12" x14ac:dyDescent="0.2">
      <c r="A81" s="24"/>
      <c r="B81" s="1"/>
      <c r="C81" s="1"/>
      <c r="D81" s="1"/>
      <c r="E81" s="1"/>
      <c r="F81" s="1"/>
      <c r="G81" s="1"/>
      <c r="H81" s="2"/>
      <c r="I81" s="1"/>
      <c r="J81" s="1"/>
      <c r="K81" s="1"/>
      <c r="L81" s="1"/>
    </row>
    <row r="82" spans="1:12" x14ac:dyDescent="0.2">
      <c r="A82" s="24"/>
      <c r="B82" s="1"/>
      <c r="C82" s="1"/>
      <c r="D82" s="1"/>
      <c r="E82" s="1"/>
      <c r="F82" s="1"/>
      <c r="G82" s="1"/>
      <c r="H82" s="2"/>
      <c r="I82" s="1"/>
      <c r="J82" s="1"/>
      <c r="K82" s="1"/>
      <c r="L82" s="1"/>
    </row>
    <row r="83" spans="1:12" x14ac:dyDescent="0.2">
      <c r="A83" s="24"/>
      <c r="B83" s="1"/>
      <c r="C83" s="1"/>
      <c r="D83" s="1"/>
      <c r="E83" s="1"/>
      <c r="F83" s="1"/>
      <c r="G83" s="1"/>
      <c r="H83" s="2"/>
      <c r="I83" s="1"/>
      <c r="J83" s="1"/>
      <c r="K83" s="1"/>
      <c r="L83" s="1"/>
    </row>
    <row r="84" spans="1:12" x14ac:dyDescent="0.2">
      <c r="A84" s="24"/>
      <c r="B84" s="1"/>
      <c r="C84" s="1"/>
      <c r="D84" s="1"/>
      <c r="E84" s="1"/>
      <c r="F84" s="1"/>
      <c r="G84" s="1"/>
      <c r="H84" s="2"/>
      <c r="I84" s="1"/>
      <c r="J84" s="1"/>
      <c r="K84" s="1"/>
      <c r="L84" s="1"/>
    </row>
    <row r="85" spans="1:12" x14ac:dyDescent="0.2">
      <c r="A85" s="24"/>
      <c r="B85" s="1"/>
      <c r="C85" s="1"/>
      <c r="D85" s="1"/>
      <c r="E85" s="1"/>
      <c r="F85" s="1"/>
      <c r="G85" s="1"/>
      <c r="H85" s="2"/>
      <c r="I85" s="1"/>
      <c r="J85" s="1"/>
      <c r="K85" s="1"/>
      <c r="L85" s="1"/>
    </row>
    <row r="86" spans="1:12" x14ac:dyDescent="0.2">
      <c r="A86" s="24"/>
      <c r="B86" s="1"/>
      <c r="C86" s="1"/>
      <c r="D86" s="1"/>
      <c r="E86" s="1"/>
      <c r="F86" s="1"/>
      <c r="G86" s="1"/>
      <c r="H86" s="2"/>
      <c r="I86" s="1"/>
      <c r="J86" s="1"/>
      <c r="K86" s="1"/>
      <c r="L86" s="1"/>
    </row>
    <row r="87" spans="1:12" x14ac:dyDescent="0.2">
      <c r="A87" s="24"/>
      <c r="B87" s="1"/>
      <c r="C87" s="1"/>
      <c r="D87" s="1"/>
      <c r="E87" s="1"/>
      <c r="F87" s="1"/>
      <c r="G87" s="1"/>
      <c r="H87" s="2"/>
      <c r="I87" s="1"/>
      <c r="J87" s="1"/>
      <c r="K87" s="1"/>
      <c r="L87" s="1"/>
    </row>
    <row r="88" spans="1:12" x14ac:dyDescent="0.2">
      <c r="A88" s="24"/>
      <c r="B88" s="1"/>
      <c r="C88" s="1"/>
      <c r="D88" s="1"/>
      <c r="E88" s="1"/>
      <c r="F88" s="1"/>
      <c r="G88" s="1"/>
      <c r="H88" s="2"/>
      <c r="I88" s="1"/>
      <c r="J88" s="1"/>
      <c r="K88" s="1"/>
      <c r="L88" s="1"/>
    </row>
    <row r="89" spans="1:12" x14ac:dyDescent="0.2">
      <c r="A89" s="24"/>
      <c r="B89" s="1"/>
      <c r="C89" s="1"/>
      <c r="D89" s="1"/>
      <c r="E89" s="1"/>
      <c r="F89" s="1"/>
      <c r="G89" s="1"/>
      <c r="H89" s="2"/>
      <c r="I89" s="1"/>
      <c r="J89" s="1"/>
      <c r="K89" s="1"/>
      <c r="L89" s="1"/>
    </row>
    <row r="90" spans="1:12" x14ac:dyDescent="0.2">
      <c r="A90" s="24"/>
      <c r="B90" s="1"/>
      <c r="C90" s="1"/>
      <c r="D90" s="1"/>
      <c r="E90" s="1"/>
      <c r="F90" s="1"/>
      <c r="G90" s="1"/>
      <c r="H90" s="2"/>
      <c r="I90" s="1"/>
      <c r="J90" s="1"/>
      <c r="K90" s="1"/>
      <c r="L90" s="1"/>
    </row>
    <row r="91" spans="1:12" x14ac:dyDescent="0.2">
      <c r="A91" s="24"/>
      <c r="B91" s="1"/>
      <c r="C91" s="1"/>
      <c r="D91" s="1"/>
      <c r="E91" s="1"/>
      <c r="F91" s="1"/>
      <c r="G91" s="1"/>
      <c r="H91" s="2"/>
      <c r="I91" s="1"/>
      <c r="J91" s="1"/>
      <c r="K91" s="1"/>
      <c r="L91" s="1"/>
    </row>
    <row r="92" spans="1:12" x14ac:dyDescent="0.2">
      <c r="A92" s="24"/>
      <c r="B92" s="1"/>
      <c r="C92" s="1"/>
      <c r="D92" s="1"/>
      <c r="E92" s="1"/>
      <c r="F92" s="1"/>
      <c r="G92" s="1"/>
      <c r="H92" s="2"/>
      <c r="I92" s="1"/>
      <c r="J92" s="1"/>
      <c r="K92" s="1"/>
      <c r="L92" s="1"/>
    </row>
    <row r="93" spans="1:12" x14ac:dyDescent="0.2">
      <c r="A93" s="24"/>
      <c r="B93" s="1"/>
      <c r="C93" s="1"/>
      <c r="D93" s="1"/>
      <c r="E93" s="1"/>
      <c r="F93" s="1"/>
      <c r="G93" s="1"/>
      <c r="H93" s="2"/>
      <c r="I93" s="1"/>
      <c r="J93" s="1"/>
      <c r="K93" s="1"/>
      <c r="L93" s="1"/>
    </row>
    <row r="94" spans="1:12" x14ac:dyDescent="0.2">
      <c r="A94" s="24"/>
      <c r="B94" s="1"/>
      <c r="C94" s="1"/>
      <c r="D94" s="1"/>
      <c r="E94" s="1"/>
      <c r="F94" s="1"/>
      <c r="G94" s="1"/>
      <c r="H94" s="2"/>
      <c r="I94" s="1"/>
      <c r="J94" s="1"/>
      <c r="K94" s="1"/>
      <c r="L94" s="1"/>
    </row>
    <row r="95" spans="1:12" x14ac:dyDescent="0.2">
      <c r="A95" s="24"/>
      <c r="B95" s="1"/>
      <c r="C95" s="1"/>
      <c r="D95" s="1"/>
      <c r="E95" s="1"/>
      <c r="F95" s="1"/>
      <c r="G95" s="1"/>
      <c r="H95" s="2"/>
      <c r="I95" s="1"/>
      <c r="J95" s="1"/>
      <c r="K95" s="1"/>
      <c r="L95" s="1"/>
    </row>
    <row r="96" spans="1:12" x14ac:dyDescent="0.2">
      <c r="A96" s="24"/>
      <c r="B96" s="1"/>
      <c r="C96" s="1"/>
      <c r="D96" s="1"/>
      <c r="E96" s="1"/>
      <c r="F96" s="1"/>
      <c r="G96" s="1"/>
      <c r="H96" s="2"/>
      <c r="I96" s="1"/>
      <c r="J96" s="1"/>
      <c r="K96" s="1"/>
      <c r="L96" s="1"/>
    </row>
    <row r="97" spans="1:12" x14ac:dyDescent="0.2">
      <c r="A97" s="24"/>
      <c r="B97" s="1"/>
      <c r="C97" s="1"/>
      <c r="D97" s="1"/>
      <c r="E97" s="1"/>
      <c r="F97" s="1"/>
      <c r="G97" s="1"/>
      <c r="H97" s="2"/>
      <c r="I97" s="1"/>
      <c r="J97" s="1"/>
      <c r="K97" s="1"/>
      <c r="L97" s="1"/>
    </row>
    <row r="98" spans="1:12" x14ac:dyDescent="0.2">
      <c r="A98" s="24"/>
      <c r="B98" s="1"/>
      <c r="C98" s="1"/>
      <c r="D98" s="1"/>
      <c r="E98" s="1"/>
      <c r="F98" s="1"/>
      <c r="G98" s="1"/>
      <c r="H98" s="2"/>
      <c r="I98" s="1"/>
      <c r="J98" s="1"/>
      <c r="K98" s="1"/>
      <c r="L98" s="1"/>
    </row>
    <row r="99" spans="1:12" x14ac:dyDescent="0.2">
      <c r="A99" s="24"/>
      <c r="B99" s="1"/>
      <c r="C99" s="1"/>
      <c r="D99" s="1"/>
      <c r="E99" s="1"/>
      <c r="F99" s="1"/>
      <c r="G99" s="1"/>
      <c r="H99" s="2"/>
      <c r="I99" s="1"/>
      <c r="J99" s="1"/>
      <c r="K99" s="1"/>
      <c r="L99" s="1"/>
    </row>
    <row r="100" spans="1:12" x14ac:dyDescent="0.2">
      <c r="A100" s="24"/>
      <c r="B100" s="1"/>
      <c r="C100" s="1"/>
      <c r="D100" s="1"/>
      <c r="E100" s="1"/>
      <c r="F100" s="1"/>
      <c r="G100" s="1"/>
      <c r="H100" s="2"/>
      <c r="I100" s="1"/>
      <c r="J100" s="1"/>
      <c r="K100" s="1"/>
      <c r="L100" s="1"/>
    </row>
    <row r="101" spans="1:12" x14ac:dyDescent="0.2">
      <c r="A101" s="24"/>
      <c r="B101" s="1"/>
      <c r="C101" s="1"/>
      <c r="D101" s="1"/>
      <c r="E101" s="1"/>
      <c r="F101" s="1"/>
      <c r="G101" s="1"/>
      <c r="H101" s="2"/>
      <c r="I101" s="1"/>
      <c r="J101" s="1"/>
      <c r="K101" s="1"/>
      <c r="L101" s="1"/>
    </row>
    <row r="102" spans="1:12" x14ac:dyDescent="0.2">
      <c r="A102" s="24"/>
      <c r="B102" s="1"/>
      <c r="C102" s="1"/>
      <c r="D102" s="1"/>
      <c r="E102" s="1"/>
      <c r="F102" s="1"/>
      <c r="G102" s="1"/>
      <c r="H102" s="2"/>
      <c r="I102" s="1"/>
      <c r="J102" s="1"/>
      <c r="K102" s="1"/>
      <c r="L102" s="1"/>
    </row>
    <row r="103" spans="1:12" x14ac:dyDescent="0.2">
      <c r="A103" s="24"/>
      <c r="B103" s="1"/>
      <c r="C103" s="1"/>
      <c r="D103" s="1"/>
      <c r="E103" s="1"/>
      <c r="F103" s="1"/>
      <c r="G103" s="1"/>
      <c r="H103" s="2"/>
      <c r="I103" s="1"/>
      <c r="J103" s="1"/>
      <c r="K103" s="1"/>
      <c r="L103" s="1"/>
    </row>
    <row r="104" spans="1:12" x14ac:dyDescent="0.2">
      <c r="A104" s="24"/>
      <c r="B104" s="1"/>
      <c r="C104" s="1"/>
      <c r="D104" s="1"/>
      <c r="E104" s="1"/>
      <c r="F104" s="1"/>
      <c r="G104" s="1"/>
      <c r="H104" s="2"/>
      <c r="I104" s="1"/>
      <c r="J104" s="1"/>
      <c r="K104" s="1"/>
      <c r="L104" s="1"/>
    </row>
    <row r="105" spans="1:12" x14ac:dyDescent="0.2">
      <c r="A105" s="24"/>
      <c r="B105" s="1"/>
      <c r="C105" s="1"/>
      <c r="D105" s="1"/>
      <c r="E105" s="1"/>
      <c r="F105" s="1"/>
      <c r="G105" s="1"/>
      <c r="H105" s="2"/>
      <c r="I105" s="1"/>
      <c r="J105" s="1"/>
      <c r="K105" s="1"/>
      <c r="L105" s="1"/>
    </row>
    <row r="106" spans="1:12" x14ac:dyDescent="0.2">
      <c r="A106" s="24"/>
      <c r="B106" s="1"/>
      <c r="C106" s="1"/>
      <c r="D106" s="1"/>
      <c r="E106" s="1"/>
      <c r="F106" s="1"/>
      <c r="G106" s="1"/>
      <c r="H106" s="2"/>
      <c r="I106" s="1"/>
      <c r="J106" s="1"/>
      <c r="K106" s="1"/>
      <c r="L106" s="1"/>
    </row>
    <row r="107" spans="1:12" x14ac:dyDescent="0.2">
      <c r="A107" s="24"/>
      <c r="B107" s="1"/>
      <c r="C107" s="1"/>
      <c r="D107" s="1"/>
      <c r="E107" s="1"/>
      <c r="F107" s="1"/>
      <c r="G107" s="1"/>
      <c r="H107" s="2"/>
      <c r="I107" s="1"/>
      <c r="J107" s="1"/>
      <c r="K107" s="1"/>
      <c r="L107" s="1"/>
    </row>
    <row r="108" spans="1:12" x14ac:dyDescent="0.2">
      <c r="A108" s="24"/>
      <c r="B108" s="1"/>
      <c r="C108" s="1"/>
      <c r="D108" s="1"/>
      <c r="E108" s="1"/>
      <c r="F108" s="1"/>
      <c r="G108" s="1"/>
      <c r="H108" s="2"/>
      <c r="I108" s="1"/>
      <c r="J108" s="1"/>
      <c r="K108" s="1"/>
      <c r="L108" s="1"/>
    </row>
    <row r="109" spans="1:12" x14ac:dyDescent="0.2">
      <c r="A109" s="24"/>
      <c r="B109" s="1"/>
      <c r="C109" s="1"/>
      <c r="D109" s="1"/>
      <c r="E109" s="1"/>
      <c r="F109" s="1"/>
      <c r="G109" s="1"/>
      <c r="H109" s="2"/>
      <c r="I109" s="1"/>
      <c r="J109" s="1"/>
      <c r="K109" s="1"/>
      <c r="L109" s="1"/>
    </row>
    <row r="110" spans="1:12" x14ac:dyDescent="0.2">
      <c r="A110" s="24"/>
      <c r="B110" s="1"/>
      <c r="C110" s="1"/>
      <c r="D110" s="1"/>
      <c r="E110" s="1"/>
      <c r="F110" s="1"/>
      <c r="G110" s="1"/>
      <c r="H110" s="2"/>
      <c r="I110" s="1"/>
      <c r="J110" s="1"/>
      <c r="K110" s="1"/>
      <c r="L110" s="1"/>
    </row>
    <row r="111" spans="1:12" x14ac:dyDescent="0.2">
      <c r="A111" s="24"/>
      <c r="B111" s="1"/>
      <c r="C111" s="1"/>
      <c r="D111" s="1"/>
      <c r="E111" s="1"/>
      <c r="F111" s="1"/>
      <c r="G111" s="1"/>
      <c r="H111" s="2"/>
      <c r="I111" s="1"/>
      <c r="J111" s="1"/>
      <c r="K111" s="1"/>
      <c r="L111" s="1"/>
    </row>
    <row r="112" spans="1:12" x14ac:dyDescent="0.2">
      <c r="A112" s="24"/>
      <c r="B112" s="1"/>
      <c r="C112" s="1"/>
      <c r="D112" s="1"/>
      <c r="E112" s="1"/>
      <c r="F112" s="1"/>
      <c r="G112" s="1"/>
      <c r="H112" s="2"/>
      <c r="I112" s="1"/>
      <c r="J112" s="1"/>
      <c r="K112" s="1"/>
      <c r="L112" s="1"/>
    </row>
    <row r="113" spans="1:12" x14ac:dyDescent="0.2">
      <c r="A113" s="24"/>
      <c r="B113" s="1"/>
      <c r="C113" s="1"/>
      <c r="D113" s="1"/>
      <c r="E113" s="1"/>
      <c r="F113" s="1"/>
      <c r="G113" s="1"/>
      <c r="H113" s="2"/>
      <c r="I113" s="1"/>
      <c r="J113" s="1"/>
      <c r="K113" s="1"/>
      <c r="L113" s="1"/>
    </row>
    <row r="114" spans="1:12" x14ac:dyDescent="0.2">
      <c r="A114" s="24"/>
      <c r="B114" s="1"/>
      <c r="C114" s="1"/>
      <c r="D114" s="1"/>
      <c r="E114" s="1"/>
      <c r="F114" s="1"/>
      <c r="G114" s="1"/>
      <c r="H114" s="2"/>
      <c r="I114" s="1"/>
      <c r="J114" s="1"/>
      <c r="K114" s="1"/>
      <c r="L114" s="1"/>
    </row>
    <row r="115" spans="1:12" x14ac:dyDescent="0.2">
      <c r="A115" s="24"/>
      <c r="B115" s="1"/>
      <c r="C115" s="1"/>
      <c r="D115" s="1"/>
      <c r="E115" s="1"/>
      <c r="F115" s="1"/>
      <c r="G115" s="1"/>
      <c r="H115" s="2"/>
      <c r="I115" s="1"/>
      <c r="J115" s="1"/>
      <c r="K115" s="1"/>
      <c r="L115" s="1"/>
    </row>
    <row r="116" spans="1:12" x14ac:dyDescent="0.2">
      <c r="A116" s="24"/>
      <c r="B116" s="1"/>
      <c r="C116" s="1"/>
      <c r="D116" s="1"/>
      <c r="E116" s="1"/>
      <c r="F116" s="1"/>
      <c r="G116" s="1"/>
      <c r="H116" s="2"/>
      <c r="I116" s="1"/>
      <c r="J116" s="1"/>
      <c r="K116" s="1"/>
      <c r="L116" s="1"/>
    </row>
    <row r="117" spans="1:12" x14ac:dyDescent="0.2">
      <c r="A117" s="24"/>
      <c r="B117" s="1"/>
      <c r="C117" s="1"/>
      <c r="D117" s="1"/>
      <c r="E117" s="1"/>
      <c r="F117" s="1"/>
      <c r="G117" s="1"/>
      <c r="H117" s="2"/>
      <c r="I117" s="1"/>
      <c r="J117" s="1"/>
      <c r="K117" s="1"/>
      <c r="L117" s="1"/>
    </row>
    <row r="118" spans="1:12" x14ac:dyDescent="0.2">
      <c r="A118" s="24"/>
      <c r="B118" s="1"/>
      <c r="C118" s="1"/>
      <c r="D118" s="1"/>
      <c r="E118" s="1"/>
      <c r="F118" s="1"/>
      <c r="G118" s="1"/>
      <c r="H118" s="2"/>
      <c r="I118" s="1"/>
      <c r="J118" s="1"/>
      <c r="K118" s="1"/>
      <c r="L118" s="1"/>
    </row>
    <row r="119" spans="1:12" x14ac:dyDescent="0.2">
      <c r="A119" s="24"/>
      <c r="B119" s="1"/>
      <c r="C119" s="1"/>
      <c r="D119" s="1"/>
      <c r="E119" s="1"/>
      <c r="F119" s="1"/>
      <c r="G119" s="1"/>
      <c r="H119" s="2"/>
      <c r="I119" s="1"/>
      <c r="J119" s="1"/>
      <c r="K119" s="1"/>
      <c r="L119" s="1"/>
    </row>
    <row r="120" spans="1:12" x14ac:dyDescent="0.2">
      <c r="A120" s="24"/>
      <c r="B120" s="1"/>
      <c r="C120" s="1"/>
      <c r="D120" s="1"/>
      <c r="E120" s="1"/>
      <c r="F120" s="1"/>
      <c r="G120" s="1"/>
      <c r="H120" s="2"/>
      <c r="I120" s="1"/>
      <c r="J120" s="1"/>
      <c r="K120" s="1"/>
      <c r="L120" s="1"/>
    </row>
    <row r="121" spans="1:12" x14ac:dyDescent="0.2">
      <c r="A121" s="24"/>
      <c r="B121" s="1"/>
      <c r="C121" s="1"/>
      <c r="D121" s="1"/>
      <c r="E121" s="1"/>
      <c r="F121" s="1"/>
      <c r="G121" s="1"/>
      <c r="H121" s="2"/>
      <c r="I121" s="1"/>
      <c r="J121" s="1"/>
      <c r="K121" s="1"/>
      <c r="L121" s="1"/>
    </row>
    <row r="122" spans="1:12" x14ac:dyDescent="0.2">
      <c r="A122" s="24"/>
      <c r="B122" s="1"/>
      <c r="C122" s="1"/>
      <c r="D122" s="1"/>
      <c r="E122" s="1"/>
      <c r="F122" s="1"/>
      <c r="G122" s="1"/>
      <c r="H122" s="2"/>
      <c r="I122" s="1"/>
      <c r="J122" s="1"/>
      <c r="K122" s="1"/>
      <c r="L122" s="1"/>
    </row>
    <row r="123" spans="1:12" x14ac:dyDescent="0.2">
      <c r="A123" s="24"/>
      <c r="B123" s="1"/>
      <c r="C123" s="1"/>
      <c r="D123" s="1"/>
      <c r="E123" s="1"/>
      <c r="F123" s="1"/>
      <c r="G123" s="1"/>
      <c r="H123" s="2"/>
      <c r="I123" s="1"/>
      <c r="J123" s="1"/>
      <c r="K123" s="1"/>
      <c r="L123" s="1"/>
    </row>
    <row r="124" spans="1:12" x14ac:dyDescent="0.2">
      <c r="A124" s="24"/>
      <c r="B124" s="1"/>
      <c r="C124" s="1"/>
      <c r="D124" s="1"/>
      <c r="E124" s="1"/>
      <c r="F124" s="1"/>
      <c r="G124" s="1"/>
      <c r="H124" s="2"/>
      <c r="I124" s="1"/>
      <c r="J124" s="1"/>
      <c r="K124" s="1"/>
      <c r="L124" s="1"/>
    </row>
    <row r="125" spans="1:12" x14ac:dyDescent="0.2">
      <c r="A125" s="24"/>
      <c r="B125" s="1"/>
      <c r="C125" s="1"/>
      <c r="D125" s="1"/>
      <c r="E125" s="1"/>
      <c r="F125" s="1"/>
      <c r="G125" s="1"/>
      <c r="H125" s="2"/>
      <c r="I125" s="1"/>
      <c r="J125" s="1"/>
      <c r="K125" s="1"/>
      <c r="L125" s="1"/>
    </row>
    <row r="126" spans="1:12" x14ac:dyDescent="0.2">
      <c r="A126" s="24"/>
      <c r="B126" s="1"/>
      <c r="C126" s="1"/>
      <c r="D126" s="1"/>
      <c r="E126" s="1"/>
      <c r="F126" s="1"/>
      <c r="G126" s="1"/>
      <c r="H126" s="2"/>
      <c r="I126" s="1"/>
      <c r="J126" s="1"/>
      <c r="K126" s="1"/>
      <c r="L126" s="1"/>
    </row>
    <row r="127" spans="1:12" x14ac:dyDescent="0.2">
      <c r="A127" s="24"/>
      <c r="B127" s="1"/>
      <c r="C127" s="1"/>
      <c r="D127" s="1"/>
      <c r="E127" s="1"/>
      <c r="F127" s="1"/>
      <c r="G127" s="1"/>
      <c r="H127" s="2"/>
      <c r="I127" s="1"/>
      <c r="J127" s="1"/>
      <c r="K127" s="1"/>
      <c r="L127" s="1"/>
    </row>
    <row r="128" spans="1:12" x14ac:dyDescent="0.2">
      <c r="A128" s="24"/>
      <c r="B128" s="1"/>
      <c r="C128" s="1"/>
      <c r="D128" s="1"/>
      <c r="E128" s="1"/>
      <c r="F128" s="1"/>
      <c r="G128" s="1"/>
      <c r="H128" s="2"/>
      <c r="I128" s="1"/>
      <c r="J128" s="1"/>
      <c r="K128" s="1"/>
      <c r="L128" s="1"/>
    </row>
    <row r="129" spans="1:12" x14ac:dyDescent="0.2">
      <c r="A129" s="24"/>
      <c r="B129" s="1"/>
      <c r="C129" s="1"/>
      <c r="D129" s="1"/>
      <c r="E129" s="1"/>
      <c r="F129" s="1"/>
      <c r="G129" s="1"/>
      <c r="H129" s="2"/>
      <c r="I129" s="1"/>
      <c r="J129" s="1"/>
      <c r="K129" s="1"/>
      <c r="L129" s="1"/>
    </row>
    <row r="130" spans="1:12" x14ac:dyDescent="0.2">
      <c r="A130" s="24"/>
      <c r="B130" s="1"/>
      <c r="C130" s="1"/>
      <c r="D130" s="1"/>
      <c r="E130" s="1"/>
      <c r="F130" s="1"/>
      <c r="G130" s="1"/>
      <c r="H130" s="2"/>
      <c r="I130" s="1"/>
      <c r="J130" s="1"/>
      <c r="K130" s="1"/>
      <c r="L130" s="1"/>
    </row>
    <row r="131" spans="1:12" x14ac:dyDescent="0.2">
      <c r="A131" s="24"/>
      <c r="B131" s="1"/>
      <c r="C131" s="1"/>
      <c r="D131" s="1"/>
      <c r="E131" s="1"/>
      <c r="F131" s="1"/>
      <c r="G131" s="1"/>
      <c r="H131" s="2"/>
      <c r="I131" s="1"/>
      <c r="J131" s="1"/>
      <c r="K131" s="1"/>
      <c r="L131" s="1"/>
    </row>
    <row r="132" spans="1:12" x14ac:dyDescent="0.2">
      <c r="A132" s="24"/>
      <c r="B132" s="1"/>
      <c r="C132" s="1"/>
      <c r="D132" s="1"/>
      <c r="E132" s="1"/>
      <c r="F132" s="1"/>
      <c r="G132" s="1"/>
      <c r="H132" s="2"/>
      <c r="I132" s="1"/>
      <c r="J132" s="1"/>
      <c r="K132" s="1"/>
      <c r="L132" s="1"/>
    </row>
    <row r="133" spans="1:12" x14ac:dyDescent="0.2">
      <c r="A133" s="24"/>
      <c r="B133" s="1"/>
      <c r="C133" s="1"/>
      <c r="D133" s="1"/>
      <c r="E133" s="1"/>
      <c r="F133" s="1"/>
      <c r="G133" s="1"/>
      <c r="H133" s="2"/>
      <c r="I133" s="1"/>
      <c r="J133" s="1"/>
      <c r="K133" s="1"/>
      <c r="L133" s="1"/>
    </row>
    <row r="134" spans="1:12" x14ac:dyDescent="0.2">
      <c r="A134" s="24"/>
      <c r="B134" s="1"/>
      <c r="C134" s="1"/>
      <c r="D134" s="1"/>
      <c r="E134" s="1"/>
      <c r="F134" s="1"/>
      <c r="G134" s="1"/>
      <c r="H134" s="2"/>
      <c r="I134" s="1"/>
      <c r="J134" s="1"/>
      <c r="K134" s="1"/>
      <c r="L134" s="1"/>
    </row>
    <row r="135" spans="1:12" x14ac:dyDescent="0.2">
      <c r="A135" s="24"/>
      <c r="B135" s="1"/>
      <c r="C135" s="1"/>
      <c r="D135" s="1"/>
      <c r="E135" s="1"/>
      <c r="F135" s="1"/>
      <c r="G135" s="1"/>
      <c r="H135" s="2"/>
      <c r="I135" s="1"/>
      <c r="J135" s="1"/>
      <c r="K135" s="1"/>
      <c r="L135" s="1"/>
    </row>
    <row r="136" spans="1:12" x14ac:dyDescent="0.2">
      <c r="A136" s="24"/>
      <c r="B136" s="1"/>
      <c r="C136" s="1"/>
      <c r="D136" s="1"/>
      <c r="E136" s="1"/>
      <c r="F136" s="1"/>
      <c r="G136" s="1"/>
      <c r="H136" s="2"/>
      <c r="I136" s="1"/>
      <c r="J136" s="1"/>
      <c r="K136" s="1"/>
      <c r="L136" s="1"/>
    </row>
    <row r="137" spans="1:12" x14ac:dyDescent="0.2">
      <c r="A137" s="24"/>
      <c r="B137" s="1"/>
      <c r="C137" s="1"/>
      <c r="D137" s="1"/>
      <c r="E137" s="1"/>
      <c r="F137" s="1"/>
      <c r="G137" s="1"/>
      <c r="H137" s="2"/>
      <c r="I137" s="1"/>
      <c r="J137" s="1"/>
      <c r="K137" s="1"/>
      <c r="L137" s="1"/>
    </row>
    <row r="138" spans="1:12" x14ac:dyDescent="0.2">
      <c r="A138" s="24"/>
      <c r="B138" s="1"/>
      <c r="C138" s="1"/>
      <c r="D138" s="1"/>
      <c r="E138" s="1"/>
      <c r="F138" s="1"/>
      <c r="G138" s="1"/>
      <c r="H138" s="2"/>
      <c r="I138" s="1"/>
      <c r="J138" s="1"/>
      <c r="K138" s="1"/>
      <c r="L138" s="1"/>
    </row>
    <row r="139" spans="1:12" x14ac:dyDescent="0.2">
      <c r="A139" s="24"/>
      <c r="B139" s="1"/>
      <c r="C139" s="1"/>
      <c r="D139" s="1"/>
      <c r="E139" s="1"/>
      <c r="F139" s="1"/>
      <c r="G139" s="1"/>
      <c r="H139" s="2"/>
      <c r="I139" s="1"/>
      <c r="J139" s="1"/>
      <c r="K139" s="1"/>
      <c r="L139" s="1"/>
    </row>
    <row r="140" spans="1:12" x14ac:dyDescent="0.2">
      <c r="A140" s="24"/>
      <c r="B140" s="1"/>
      <c r="C140" s="1"/>
      <c r="D140" s="1"/>
      <c r="E140" s="1"/>
      <c r="F140" s="1"/>
      <c r="G140" s="1"/>
      <c r="H140" s="2"/>
      <c r="I140" s="1"/>
      <c r="J140" s="1"/>
      <c r="K140" s="1"/>
      <c r="L140" s="1"/>
    </row>
    <row r="141" spans="1:12" x14ac:dyDescent="0.2">
      <c r="A141" s="24"/>
      <c r="B141" s="1"/>
      <c r="C141" s="1"/>
      <c r="D141" s="1"/>
      <c r="E141" s="1"/>
      <c r="F141" s="1"/>
      <c r="G141" s="1"/>
      <c r="H141" s="2"/>
      <c r="I141" s="1"/>
      <c r="J141" s="1"/>
      <c r="K141" s="1"/>
      <c r="L141" s="1"/>
    </row>
    <row r="142" spans="1:12" x14ac:dyDescent="0.2">
      <c r="A142" s="24"/>
      <c r="B142" s="1"/>
      <c r="C142" s="1"/>
      <c r="D142" s="1"/>
      <c r="E142" s="1"/>
      <c r="F142" s="1"/>
      <c r="G142" s="1"/>
      <c r="H142" s="2"/>
      <c r="I142" s="1"/>
      <c r="J142" s="1"/>
      <c r="K142" s="1"/>
      <c r="L142" s="1"/>
    </row>
    <row r="143" spans="1:12" x14ac:dyDescent="0.2">
      <c r="A143" s="24"/>
      <c r="B143" s="1"/>
      <c r="C143" s="1"/>
      <c r="D143" s="1"/>
      <c r="E143" s="1"/>
      <c r="F143" s="1"/>
      <c r="G143" s="1"/>
      <c r="H143" s="2"/>
      <c r="I143" s="1"/>
      <c r="J143" s="1"/>
      <c r="K143" s="1"/>
      <c r="L143" s="1"/>
    </row>
    <row r="144" spans="1:12" x14ac:dyDescent="0.2">
      <c r="A144" s="24"/>
      <c r="B144" s="1"/>
      <c r="C144" s="1"/>
      <c r="D144" s="1"/>
      <c r="E144" s="1"/>
      <c r="F144" s="1"/>
      <c r="G144" s="1"/>
      <c r="H144" s="2"/>
      <c r="I144" s="1"/>
      <c r="J144" s="1"/>
      <c r="K144" s="1"/>
      <c r="L144" s="1"/>
    </row>
    <row r="145" spans="1:12" x14ac:dyDescent="0.2">
      <c r="A145" s="24"/>
      <c r="B145" s="1"/>
      <c r="C145" s="1"/>
      <c r="D145" s="1"/>
      <c r="E145" s="1"/>
      <c r="F145" s="1"/>
      <c r="G145" s="1"/>
      <c r="H145" s="2"/>
      <c r="I145" s="1"/>
      <c r="J145" s="1"/>
      <c r="K145" s="1"/>
      <c r="L145" s="1"/>
    </row>
    <row r="146" spans="1:12" x14ac:dyDescent="0.2">
      <c r="A146" s="24"/>
      <c r="B146" s="1"/>
      <c r="C146" s="1"/>
      <c r="D146" s="1"/>
      <c r="E146" s="1"/>
      <c r="F146" s="1"/>
      <c r="G146" s="1"/>
      <c r="H146" s="2"/>
      <c r="I146" s="1"/>
      <c r="J146" s="1"/>
      <c r="K146" s="1"/>
      <c r="L146" s="1"/>
    </row>
    <row r="147" spans="1:12" x14ac:dyDescent="0.2">
      <c r="A147" s="24"/>
      <c r="B147" s="1"/>
      <c r="C147" s="1"/>
      <c r="D147" s="1"/>
      <c r="E147" s="1"/>
      <c r="F147" s="1"/>
      <c r="G147" s="1"/>
      <c r="H147" s="2"/>
      <c r="I147" s="1"/>
      <c r="J147" s="1"/>
      <c r="K147" s="1"/>
      <c r="L147" s="1"/>
    </row>
    <row r="148" spans="1:12" x14ac:dyDescent="0.2">
      <c r="A148" s="24"/>
      <c r="B148" s="1"/>
      <c r="C148" s="1"/>
      <c r="D148" s="1"/>
      <c r="E148" s="1"/>
      <c r="F148" s="1"/>
      <c r="G148" s="1"/>
      <c r="H148" s="2"/>
      <c r="I148" s="1"/>
      <c r="J148" s="1"/>
      <c r="K148" s="1"/>
      <c r="L148" s="1"/>
    </row>
    <row r="149" spans="1:12" x14ac:dyDescent="0.2">
      <c r="A149" s="24"/>
      <c r="B149" s="1"/>
      <c r="C149" s="1"/>
      <c r="D149" s="1"/>
      <c r="E149" s="1"/>
      <c r="F149" s="1"/>
      <c r="G149" s="1"/>
      <c r="H149" s="2"/>
      <c r="I149" s="1"/>
      <c r="J149" s="1"/>
      <c r="K149" s="1"/>
      <c r="L149" s="1"/>
    </row>
    <row r="150" spans="1:12" x14ac:dyDescent="0.2">
      <c r="A150" s="24"/>
      <c r="B150" s="1"/>
      <c r="C150" s="1"/>
      <c r="D150" s="1"/>
      <c r="E150" s="1"/>
      <c r="F150" s="1"/>
      <c r="G150" s="1"/>
      <c r="H150" s="2"/>
      <c r="I150" s="1"/>
      <c r="J150" s="1"/>
      <c r="K150" s="1"/>
      <c r="L150" s="1"/>
    </row>
    <row r="151" spans="1:12" x14ac:dyDescent="0.2">
      <c r="A151" s="24"/>
      <c r="B151" s="1"/>
      <c r="C151" s="1"/>
      <c r="D151" s="1"/>
      <c r="E151" s="1"/>
      <c r="F151" s="1"/>
      <c r="G151" s="1"/>
      <c r="H151" s="2"/>
      <c r="I151" s="1"/>
      <c r="J151" s="1"/>
      <c r="K151" s="1"/>
      <c r="L151" s="1"/>
    </row>
    <row r="152" spans="1:12" x14ac:dyDescent="0.2">
      <c r="A152" s="24"/>
      <c r="B152" s="1"/>
      <c r="C152" s="1"/>
      <c r="D152" s="1"/>
      <c r="E152" s="1"/>
      <c r="F152" s="1"/>
      <c r="G152" s="1"/>
      <c r="H152" s="2"/>
      <c r="I152" s="1"/>
      <c r="J152" s="1"/>
      <c r="K152" s="1"/>
      <c r="L152" s="1"/>
    </row>
    <row r="153" spans="1:12" x14ac:dyDescent="0.2">
      <c r="A153" s="24"/>
      <c r="B153" s="1"/>
      <c r="C153" s="1"/>
      <c r="D153" s="1"/>
      <c r="E153" s="1"/>
      <c r="F153" s="1"/>
      <c r="G153" s="1"/>
      <c r="H153" s="2"/>
      <c r="I153" s="1"/>
      <c r="J153" s="1"/>
      <c r="K153" s="1"/>
      <c r="L153" s="1"/>
    </row>
    <row r="154" spans="1:12" x14ac:dyDescent="0.2">
      <c r="A154" s="24"/>
      <c r="B154" s="1"/>
      <c r="C154" s="1"/>
      <c r="D154" s="1"/>
      <c r="E154" s="1"/>
      <c r="F154" s="1"/>
      <c r="G154" s="1"/>
      <c r="H154" s="2"/>
      <c r="I154" s="1"/>
      <c r="J154" s="1"/>
      <c r="K154" s="1"/>
      <c r="L154" s="1"/>
    </row>
    <row r="155" spans="1:12" x14ac:dyDescent="0.2">
      <c r="A155" s="24"/>
      <c r="B155" s="1"/>
      <c r="C155" s="1"/>
      <c r="D155" s="1"/>
      <c r="E155" s="1"/>
      <c r="F155" s="1"/>
      <c r="G155" s="1"/>
      <c r="H155" s="2"/>
      <c r="I155" s="1"/>
      <c r="J155" s="1"/>
      <c r="K155" s="1"/>
      <c r="L155" s="1"/>
    </row>
    <row r="156" spans="1:12" x14ac:dyDescent="0.2">
      <c r="A156" s="24"/>
      <c r="B156" s="1"/>
      <c r="C156" s="1"/>
      <c r="D156" s="1"/>
      <c r="E156" s="1"/>
      <c r="F156" s="1"/>
      <c r="G156" s="1"/>
      <c r="H156" s="2"/>
      <c r="I156" s="1"/>
      <c r="J156" s="1"/>
      <c r="K156" s="1"/>
      <c r="L156" s="1"/>
    </row>
    <row r="157" spans="1:12" x14ac:dyDescent="0.2">
      <c r="A157" s="24"/>
      <c r="B157" s="1"/>
      <c r="C157" s="1"/>
      <c r="D157" s="1"/>
      <c r="E157" s="1"/>
      <c r="F157" s="1"/>
      <c r="G157" s="1"/>
      <c r="H157" s="2"/>
      <c r="I157" s="1"/>
      <c r="J157" s="1"/>
      <c r="K157" s="1"/>
      <c r="L157" s="1"/>
    </row>
    <row r="158" spans="1:12" x14ac:dyDescent="0.2">
      <c r="A158" s="24"/>
      <c r="B158" s="1"/>
      <c r="C158" s="1"/>
      <c r="D158" s="1"/>
      <c r="E158" s="1"/>
      <c r="F158" s="1"/>
      <c r="G158" s="1"/>
      <c r="H158" s="2"/>
      <c r="I158" s="1"/>
      <c r="J158" s="1"/>
      <c r="K158" s="1"/>
      <c r="L158" s="1"/>
    </row>
    <row r="159" spans="1:12" x14ac:dyDescent="0.2">
      <c r="A159" s="24"/>
      <c r="B159" s="1"/>
      <c r="C159" s="1"/>
      <c r="D159" s="1"/>
      <c r="E159" s="1"/>
      <c r="F159" s="1"/>
      <c r="G159" s="1"/>
      <c r="H159" s="2"/>
      <c r="I159" s="1"/>
      <c r="J159" s="1"/>
      <c r="K159" s="1"/>
      <c r="L159" s="1"/>
    </row>
    <row r="160" spans="1:12" x14ac:dyDescent="0.2">
      <c r="A160" s="24"/>
      <c r="B160" s="1"/>
      <c r="C160" s="1"/>
      <c r="D160" s="1"/>
      <c r="E160" s="1"/>
      <c r="F160" s="1"/>
      <c r="G160" s="1"/>
      <c r="H160" s="2"/>
      <c r="I160" s="1"/>
      <c r="J160" s="1"/>
      <c r="K160" s="1"/>
      <c r="L160" s="1"/>
    </row>
    <row r="161" spans="1:12" x14ac:dyDescent="0.2">
      <c r="A161" s="24"/>
      <c r="B161" s="1"/>
      <c r="C161" s="1"/>
      <c r="D161" s="1"/>
      <c r="E161" s="1"/>
      <c r="F161" s="1"/>
      <c r="G161" s="1"/>
      <c r="H161" s="2"/>
      <c r="I161" s="1"/>
      <c r="J161" s="1"/>
      <c r="K161" s="1"/>
      <c r="L161" s="1"/>
    </row>
    <row r="162" spans="1:12" x14ac:dyDescent="0.2">
      <c r="A162" s="24"/>
      <c r="B162" s="1"/>
      <c r="C162" s="1"/>
      <c r="D162" s="1"/>
      <c r="E162" s="1"/>
      <c r="F162" s="1"/>
      <c r="G162" s="1"/>
      <c r="H162" s="2"/>
      <c r="I162" s="1"/>
      <c r="J162" s="1"/>
      <c r="K162" s="1"/>
      <c r="L162" s="1"/>
    </row>
    <row r="163" spans="1:12" x14ac:dyDescent="0.2">
      <c r="A163" s="24"/>
      <c r="B163" s="1"/>
      <c r="C163" s="1"/>
      <c r="D163" s="1"/>
      <c r="E163" s="1"/>
      <c r="F163" s="1"/>
      <c r="G163" s="1"/>
      <c r="H163" s="2"/>
      <c r="I163" s="1"/>
      <c r="J163" s="1"/>
      <c r="K163" s="1"/>
      <c r="L163" s="1"/>
    </row>
    <row r="164" spans="1:12" x14ac:dyDescent="0.2">
      <c r="A164" s="24"/>
      <c r="B164" s="1"/>
      <c r="C164" s="1"/>
      <c r="D164" s="1"/>
      <c r="E164" s="1"/>
      <c r="F164" s="1"/>
      <c r="G164" s="1"/>
      <c r="H164" s="2"/>
      <c r="I164" s="1"/>
      <c r="J164" s="1"/>
      <c r="K164" s="1"/>
      <c r="L164" s="1"/>
    </row>
    <row r="165" spans="1:12" x14ac:dyDescent="0.2">
      <c r="A165" s="24"/>
      <c r="B165" s="1"/>
      <c r="C165" s="1"/>
      <c r="D165" s="1"/>
      <c r="E165" s="1"/>
      <c r="F165" s="1"/>
      <c r="G165" s="1"/>
      <c r="H165" s="2"/>
      <c r="I165" s="1"/>
      <c r="J165" s="1"/>
      <c r="K165" s="1"/>
      <c r="L165" s="1"/>
    </row>
    <row r="166" spans="1:12" x14ac:dyDescent="0.2">
      <c r="A166" s="24"/>
      <c r="B166" s="1"/>
      <c r="C166" s="1"/>
      <c r="D166" s="1"/>
      <c r="E166" s="1"/>
      <c r="F166" s="1"/>
      <c r="G166" s="1"/>
      <c r="H166" s="2"/>
      <c r="I166" s="1"/>
      <c r="J166" s="1"/>
      <c r="K166" s="1"/>
      <c r="L166" s="1"/>
    </row>
    <row r="167" spans="1:12" x14ac:dyDescent="0.2">
      <c r="A167" s="24"/>
      <c r="B167" s="1"/>
      <c r="C167" s="1"/>
      <c r="D167" s="1"/>
      <c r="E167" s="1"/>
      <c r="F167" s="1"/>
      <c r="G167" s="1"/>
      <c r="H167" s="2"/>
      <c r="I167" s="1"/>
      <c r="J167" s="1"/>
      <c r="K167" s="1"/>
      <c r="L167" s="1"/>
    </row>
    <row r="168" spans="1:12" x14ac:dyDescent="0.2">
      <c r="A168" s="24"/>
      <c r="B168" s="1"/>
      <c r="C168" s="1"/>
      <c r="D168" s="1"/>
      <c r="E168" s="1"/>
      <c r="F168" s="1"/>
      <c r="G168" s="1"/>
      <c r="H168" s="2"/>
      <c r="I168" s="1"/>
      <c r="J168" s="1"/>
      <c r="K168" s="1"/>
      <c r="L168" s="1"/>
    </row>
    <row r="169" spans="1:12" x14ac:dyDescent="0.2">
      <c r="A169" s="24"/>
      <c r="B169" s="1"/>
      <c r="C169" s="1"/>
      <c r="D169" s="1"/>
      <c r="E169" s="1"/>
      <c r="F169" s="1"/>
      <c r="G169" s="1"/>
      <c r="H169" s="2"/>
      <c r="I169" s="1"/>
      <c r="J169" s="1"/>
      <c r="K169" s="1"/>
      <c r="L169" s="1"/>
    </row>
    <row r="170" spans="1:12" x14ac:dyDescent="0.2">
      <c r="A170" s="24"/>
      <c r="B170" s="1"/>
      <c r="C170" s="1"/>
      <c r="D170" s="1"/>
      <c r="E170" s="1"/>
      <c r="F170" s="1"/>
      <c r="G170" s="1"/>
      <c r="H170" s="2"/>
      <c r="I170" s="1"/>
      <c r="J170" s="1"/>
      <c r="K170" s="1"/>
      <c r="L170" s="1"/>
    </row>
    <row r="171" spans="1:12" x14ac:dyDescent="0.2">
      <c r="A171" s="24"/>
      <c r="B171" s="1"/>
      <c r="C171" s="1"/>
      <c r="D171" s="1"/>
      <c r="E171" s="1"/>
      <c r="F171" s="1"/>
      <c r="G171" s="1"/>
      <c r="H171" s="2"/>
      <c r="I171" s="1"/>
      <c r="J171" s="1"/>
      <c r="K171" s="1"/>
      <c r="L171" s="1"/>
    </row>
    <row r="172" spans="1:12" x14ac:dyDescent="0.2">
      <c r="A172" s="24"/>
      <c r="B172" s="1"/>
      <c r="C172" s="1"/>
      <c r="D172" s="1"/>
      <c r="E172" s="1"/>
      <c r="F172" s="1"/>
      <c r="G172" s="1"/>
      <c r="H172" s="2"/>
      <c r="I172" s="1"/>
      <c r="J172" s="1"/>
      <c r="K172" s="1"/>
      <c r="L172" s="1"/>
    </row>
    <row r="173" spans="1:12" x14ac:dyDescent="0.2">
      <c r="A173" s="24"/>
      <c r="B173" s="1"/>
      <c r="C173" s="1"/>
      <c r="D173" s="1"/>
      <c r="E173" s="1"/>
      <c r="F173" s="1"/>
      <c r="G173" s="1"/>
      <c r="H173" s="2"/>
      <c r="I173" s="1"/>
      <c r="J173" s="1"/>
      <c r="K173" s="1"/>
      <c r="L173" s="1"/>
    </row>
    <row r="174" spans="1:12" x14ac:dyDescent="0.2">
      <c r="A174" s="24"/>
      <c r="B174" s="1"/>
      <c r="C174" s="1"/>
      <c r="D174" s="1"/>
      <c r="E174" s="1"/>
      <c r="F174" s="1"/>
      <c r="G174" s="1"/>
      <c r="H174" s="2"/>
      <c r="I174" s="1"/>
      <c r="J174" s="1"/>
      <c r="K174" s="1"/>
      <c r="L174" s="1"/>
    </row>
    <row r="175" spans="1:12" x14ac:dyDescent="0.2">
      <c r="A175" s="24"/>
      <c r="B175" s="1"/>
      <c r="C175" s="1"/>
      <c r="D175" s="1"/>
      <c r="E175" s="1"/>
      <c r="F175" s="1"/>
      <c r="G175" s="1"/>
      <c r="H175" s="2"/>
      <c r="I175" s="1"/>
      <c r="J175" s="1"/>
      <c r="K175" s="1"/>
      <c r="L175" s="1"/>
    </row>
    <row r="176" spans="1:12" x14ac:dyDescent="0.2">
      <c r="A176" s="24"/>
      <c r="B176" s="1"/>
      <c r="C176" s="1"/>
      <c r="D176" s="1"/>
      <c r="E176" s="1"/>
      <c r="F176" s="1"/>
      <c r="G176" s="1"/>
      <c r="H176" s="2"/>
      <c r="I176" s="1"/>
      <c r="J176" s="1"/>
      <c r="K176" s="1"/>
      <c r="L176" s="1"/>
    </row>
    <row r="177" spans="1:12" x14ac:dyDescent="0.2">
      <c r="A177" s="24"/>
      <c r="B177" s="1"/>
      <c r="C177" s="1"/>
      <c r="D177" s="1"/>
      <c r="E177" s="1"/>
      <c r="F177" s="1"/>
      <c r="G177" s="1"/>
      <c r="H177" s="2"/>
      <c r="I177" s="1"/>
      <c r="J177" s="1"/>
      <c r="K177" s="1"/>
      <c r="L177" s="1"/>
    </row>
    <row r="178" spans="1:12" x14ac:dyDescent="0.2">
      <c r="A178" s="24"/>
      <c r="B178" s="1"/>
      <c r="C178" s="1"/>
      <c r="D178" s="1"/>
      <c r="E178" s="1"/>
      <c r="F178" s="1"/>
      <c r="G178" s="1"/>
      <c r="H178" s="2"/>
      <c r="I178" s="1"/>
      <c r="J178" s="1"/>
      <c r="K178" s="1"/>
      <c r="L178" s="1"/>
    </row>
    <row r="179" spans="1:12" x14ac:dyDescent="0.2">
      <c r="A179" s="24"/>
      <c r="B179" s="1"/>
      <c r="C179" s="1"/>
      <c r="D179" s="1"/>
      <c r="E179" s="1"/>
      <c r="F179" s="1"/>
      <c r="G179" s="1"/>
      <c r="H179" s="2"/>
      <c r="I179" s="1"/>
      <c r="J179" s="1"/>
      <c r="K179" s="1"/>
      <c r="L179" s="1"/>
    </row>
    <row r="180" spans="1:12" x14ac:dyDescent="0.2">
      <c r="A180" s="24"/>
      <c r="B180" s="1"/>
      <c r="C180" s="1"/>
      <c r="D180" s="1"/>
      <c r="E180" s="1"/>
      <c r="F180" s="1"/>
      <c r="G180" s="1"/>
      <c r="H180" s="2"/>
      <c r="I180" s="1"/>
      <c r="J180" s="1"/>
      <c r="K180" s="1"/>
      <c r="L180" s="1"/>
    </row>
    <row r="181" spans="1:12" x14ac:dyDescent="0.2">
      <c r="A181" s="24"/>
      <c r="B181" s="1"/>
      <c r="C181" s="1"/>
      <c r="D181" s="1"/>
      <c r="E181" s="1"/>
      <c r="F181" s="1"/>
      <c r="G181" s="1"/>
      <c r="H181" s="2"/>
      <c r="I181" s="1"/>
      <c r="J181" s="1"/>
      <c r="K181" s="1"/>
      <c r="L181" s="1"/>
    </row>
    <row r="182" spans="1:12" x14ac:dyDescent="0.2">
      <c r="A182" s="24"/>
      <c r="B182" s="1"/>
      <c r="C182" s="1"/>
      <c r="D182" s="1"/>
      <c r="E182" s="1"/>
      <c r="F182" s="1"/>
      <c r="G182" s="1"/>
      <c r="H182" s="2"/>
      <c r="I182" s="1"/>
      <c r="J182" s="1"/>
      <c r="K182" s="1"/>
      <c r="L182" s="1"/>
    </row>
    <row r="183" spans="1:12" x14ac:dyDescent="0.2">
      <c r="A183" s="24"/>
      <c r="B183" s="1"/>
      <c r="C183" s="1"/>
      <c r="D183" s="1"/>
      <c r="E183" s="1"/>
      <c r="F183" s="1"/>
      <c r="G183" s="1"/>
      <c r="H183" s="2"/>
      <c r="I183" s="1"/>
      <c r="J183" s="1"/>
      <c r="K183" s="1"/>
      <c r="L183" s="1"/>
    </row>
    <row r="184" spans="1:12" x14ac:dyDescent="0.2">
      <c r="A184" s="24"/>
      <c r="B184" s="1"/>
      <c r="C184" s="1"/>
      <c r="D184" s="1"/>
      <c r="E184" s="1"/>
      <c r="F184" s="1"/>
      <c r="G184" s="1"/>
      <c r="H184" s="2"/>
      <c r="I184" s="1"/>
      <c r="J184" s="1"/>
      <c r="K184" s="1"/>
      <c r="L184" s="1"/>
    </row>
    <row r="185" spans="1:12" x14ac:dyDescent="0.2">
      <c r="A185" s="24"/>
      <c r="B185" s="1"/>
      <c r="C185" s="1"/>
      <c r="D185" s="1"/>
      <c r="E185" s="1"/>
      <c r="F185" s="1"/>
      <c r="G185" s="1"/>
      <c r="H185" s="2"/>
      <c r="I185" s="1"/>
      <c r="J185" s="1"/>
      <c r="K185" s="1"/>
      <c r="L185" s="1"/>
    </row>
    <row r="186" spans="1:12" x14ac:dyDescent="0.2">
      <c r="A186" s="24"/>
      <c r="B186" s="1"/>
      <c r="C186" s="1"/>
      <c r="D186" s="1"/>
      <c r="E186" s="1"/>
      <c r="F186" s="1"/>
      <c r="G186" s="1"/>
      <c r="H186" s="2"/>
      <c r="I186" s="1"/>
      <c r="J186" s="1"/>
      <c r="K186" s="1"/>
      <c r="L186" s="1"/>
    </row>
    <row r="187" spans="1:12" x14ac:dyDescent="0.2">
      <c r="A187" s="24"/>
      <c r="B187" s="1"/>
      <c r="C187" s="1"/>
      <c r="D187" s="1"/>
      <c r="E187" s="1"/>
      <c r="F187" s="1"/>
      <c r="G187" s="1"/>
      <c r="H187" s="2"/>
      <c r="I187" s="1"/>
      <c r="J187" s="1"/>
      <c r="K187" s="1"/>
      <c r="L187" s="1"/>
    </row>
    <row r="188" spans="1:12" x14ac:dyDescent="0.2">
      <c r="A188" s="24"/>
      <c r="B188" s="1"/>
      <c r="C188" s="1"/>
      <c r="D188" s="1"/>
      <c r="E188" s="1"/>
      <c r="F188" s="1"/>
      <c r="G188" s="1"/>
      <c r="H188" s="2"/>
      <c r="I188" s="1"/>
      <c r="J188" s="1"/>
      <c r="K188" s="1"/>
      <c r="L188" s="1"/>
    </row>
    <row r="189" spans="1:12" x14ac:dyDescent="0.2">
      <c r="A189" s="24"/>
      <c r="B189" s="1"/>
      <c r="C189" s="1"/>
      <c r="D189" s="1"/>
      <c r="E189" s="1"/>
      <c r="F189" s="1"/>
      <c r="G189" s="1"/>
      <c r="H189" s="2"/>
      <c r="I189" s="1"/>
      <c r="J189" s="1"/>
      <c r="K189" s="1"/>
      <c r="L189" s="1"/>
    </row>
    <row r="190" spans="1:12" x14ac:dyDescent="0.2">
      <c r="A190" s="24"/>
      <c r="B190" s="1"/>
      <c r="C190" s="1"/>
      <c r="D190" s="1"/>
      <c r="E190" s="1"/>
      <c r="F190" s="1"/>
      <c r="G190" s="1"/>
      <c r="H190" s="2"/>
      <c r="I190" s="1"/>
      <c r="J190" s="1"/>
      <c r="K190" s="1"/>
      <c r="L190" s="1"/>
    </row>
    <row r="191" spans="1:12" x14ac:dyDescent="0.2">
      <c r="A191" s="24"/>
      <c r="B191" s="1"/>
      <c r="C191" s="1"/>
      <c r="D191" s="1"/>
      <c r="E191" s="1"/>
      <c r="F191" s="1"/>
      <c r="G191" s="1"/>
      <c r="H191" s="2"/>
      <c r="I191" s="1"/>
      <c r="J191" s="1"/>
      <c r="K191" s="1"/>
      <c r="L191" s="1"/>
    </row>
    <row r="192" spans="1:12" x14ac:dyDescent="0.2">
      <c r="A192" s="24"/>
      <c r="B192" s="1"/>
      <c r="C192" s="1"/>
      <c r="D192" s="1"/>
      <c r="E192" s="1"/>
      <c r="F192" s="1"/>
      <c r="G192" s="1"/>
      <c r="H192" s="2"/>
      <c r="I192" s="1"/>
      <c r="J192" s="1"/>
      <c r="K192" s="1"/>
      <c r="L192" s="1"/>
    </row>
    <row r="193" spans="1:12" x14ac:dyDescent="0.2">
      <c r="A193" s="24"/>
      <c r="B193" s="1"/>
      <c r="C193" s="1"/>
      <c r="D193" s="1"/>
      <c r="E193" s="1"/>
      <c r="F193" s="1"/>
      <c r="G193" s="1"/>
      <c r="H193" s="2"/>
      <c r="I193" s="1"/>
      <c r="J193" s="1"/>
      <c r="K193" s="1"/>
      <c r="L193" s="1"/>
    </row>
    <row r="194" spans="1:12" x14ac:dyDescent="0.2">
      <c r="A194" s="24"/>
      <c r="B194" s="1"/>
      <c r="C194" s="1"/>
      <c r="D194" s="1"/>
      <c r="E194" s="1"/>
      <c r="F194" s="1"/>
      <c r="G194" s="1"/>
      <c r="H194" s="2"/>
      <c r="I194" s="1"/>
      <c r="J194" s="1"/>
      <c r="K194" s="1"/>
      <c r="L194" s="1"/>
    </row>
    <row r="195" spans="1:12" x14ac:dyDescent="0.2">
      <c r="A195" s="24"/>
      <c r="B195" s="1"/>
      <c r="C195" s="1"/>
      <c r="D195" s="1"/>
      <c r="E195" s="1"/>
      <c r="F195" s="1"/>
      <c r="G195" s="1"/>
      <c r="H195" s="2"/>
      <c r="I195" s="1"/>
      <c r="J195" s="1"/>
      <c r="K195" s="1"/>
      <c r="L195" s="1"/>
    </row>
    <row r="196" spans="1:12" x14ac:dyDescent="0.2">
      <c r="A196" s="24"/>
      <c r="B196" s="1"/>
      <c r="C196" s="1"/>
      <c r="D196" s="1"/>
      <c r="E196" s="1"/>
      <c r="F196" s="1"/>
      <c r="G196" s="1"/>
      <c r="H196" s="2"/>
      <c r="I196" s="1"/>
      <c r="J196" s="1"/>
      <c r="K196" s="1"/>
      <c r="L196" s="1"/>
    </row>
    <row r="197" spans="1:12" x14ac:dyDescent="0.2">
      <c r="A197" s="24"/>
      <c r="B197" s="1"/>
      <c r="C197" s="1"/>
      <c r="D197" s="1"/>
      <c r="E197" s="1"/>
      <c r="F197" s="1"/>
      <c r="G197" s="1"/>
      <c r="H197" s="2"/>
      <c r="I197" s="1"/>
      <c r="J197" s="1"/>
      <c r="K197" s="1"/>
      <c r="L197" s="1"/>
    </row>
    <row r="198" spans="1:12" x14ac:dyDescent="0.2">
      <c r="A198" s="24"/>
      <c r="B198" s="1"/>
      <c r="C198" s="1"/>
      <c r="D198" s="1"/>
      <c r="E198" s="1"/>
      <c r="F198" s="1"/>
      <c r="G198" s="1"/>
      <c r="H198" s="2"/>
      <c r="I198" s="1"/>
      <c r="J198" s="1"/>
      <c r="K198" s="1"/>
      <c r="L198" s="1"/>
    </row>
    <row r="199" spans="1:12" x14ac:dyDescent="0.2">
      <c r="A199" s="24"/>
      <c r="B199" s="1"/>
      <c r="C199" s="1"/>
      <c r="D199" s="1"/>
      <c r="E199" s="1"/>
      <c r="F199" s="1"/>
      <c r="G199" s="1"/>
      <c r="H199" s="2"/>
      <c r="I199" s="1"/>
      <c r="J199" s="1"/>
      <c r="K199" s="1"/>
      <c r="L199" s="1"/>
    </row>
    <row r="200" spans="1:12" x14ac:dyDescent="0.2">
      <c r="A200" s="24"/>
      <c r="B200" s="1"/>
      <c r="C200" s="1"/>
      <c r="D200" s="1"/>
      <c r="E200" s="1"/>
      <c r="F200" s="1"/>
      <c r="G200" s="1"/>
      <c r="H200" s="2"/>
      <c r="I200" s="1"/>
      <c r="J200" s="1"/>
      <c r="K200" s="1"/>
      <c r="L200" s="1"/>
    </row>
    <row r="201" spans="1:12" x14ac:dyDescent="0.2">
      <c r="A201" s="24"/>
      <c r="B201" s="1"/>
      <c r="C201" s="1"/>
      <c r="D201" s="1"/>
      <c r="E201" s="1"/>
      <c r="F201" s="1"/>
      <c r="G201" s="1"/>
      <c r="H201" s="2"/>
      <c r="I201" s="1"/>
      <c r="J201" s="1"/>
      <c r="K201" s="1"/>
      <c r="L201" s="1"/>
    </row>
    <row r="202" spans="1:12" x14ac:dyDescent="0.2">
      <c r="A202" s="24"/>
      <c r="B202" s="1"/>
      <c r="C202" s="1"/>
      <c r="D202" s="1"/>
      <c r="E202" s="1"/>
      <c r="F202" s="1"/>
      <c r="G202" s="1"/>
      <c r="H202" s="2"/>
      <c r="I202" s="1"/>
      <c r="J202" s="1"/>
      <c r="K202" s="1"/>
      <c r="L202" s="1"/>
    </row>
    <row r="203" spans="1:12" x14ac:dyDescent="0.2">
      <c r="A203" s="24"/>
      <c r="B203" s="1"/>
      <c r="C203" s="1"/>
      <c r="D203" s="1"/>
      <c r="E203" s="1"/>
      <c r="F203" s="1"/>
      <c r="G203" s="1"/>
      <c r="H203" s="2"/>
      <c r="I203" s="1"/>
      <c r="J203" s="1"/>
      <c r="K203" s="1"/>
      <c r="L203" s="1"/>
    </row>
    <row r="204" spans="1:12" x14ac:dyDescent="0.2">
      <c r="A204" s="24"/>
      <c r="B204" s="1"/>
      <c r="C204" s="1"/>
      <c r="D204" s="1"/>
      <c r="E204" s="1"/>
      <c r="F204" s="1"/>
      <c r="G204" s="1"/>
      <c r="H204" s="2"/>
      <c r="I204" s="1"/>
      <c r="J204" s="1"/>
      <c r="K204" s="1"/>
      <c r="L204" s="1"/>
    </row>
    <row r="205" spans="1:12" x14ac:dyDescent="0.2">
      <c r="A205" s="24"/>
      <c r="B205" s="1"/>
      <c r="C205" s="1"/>
      <c r="D205" s="1"/>
      <c r="E205" s="1"/>
      <c r="F205" s="1"/>
      <c r="G205" s="1"/>
      <c r="H205" s="2"/>
      <c r="I205" s="1"/>
      <c r="J205" s="1"/>
      <c r="K205" s="1"/>
      <c r="L205" s="1"/>
    </row>
    <row r="206" spans="1:12" x14ac:dyDescent="0.2">
      <c r="A206" s="24"/>
      <c r="B206" s="1"/>
      <c r="C206" s="1"/>
      <c r="D206" s="1"/>
      <c r="E206" s="1"/>
      <c r="F206" s="1"/>
      <c r="G206" s="1"/>
      <c r="H206" s="2"/>
      <c r="I206" s="1"/>
      <c r="J206" s="1"/>
      <c r="K206" s="1"/>
      <c r="L206" s="1"/>
    </row>
    <row r="207" spans="1:12" x14ac:dyDescent="0.2">
      <c r="A207" s="24"/>
      <c r="B207" s="1"/>
      <c r="C207" s="1"/>
      <c r="D207" s="1"/>
      <c r="E207" s="1"/>
      <c r="F207" s="1"/>
      <c r="G207" s="1"/>
      <c r="H207" s="2"/>
      <c r="I207" s="1"/>
      <c r="J207" s="1"/>
      <c r="K207" s="1"/>
      <c r="L207" s="1"/>
    </row>
    <row r="208" spans="1:12" x14ac:dyDescent="0.2">
      <c r="A208" s="24"/>
      <c r="B208" s="1"/>
      <c r="C208" s="1"/>
      <c r="D208" s="1"/>
      <c r="E208" s="1"/>
      <c r="F208" s="1"/>
      <c r="G208" s="1"/>
      <c r="H208" s="2"/>
      <c r="I208" s="1"/>
      <c r="J208" s="1"/>
      <c r="K208" s="1"/>
      <c r="L208" s="1"/>
    </row>
    <row r="209" spans="1:12" x14ac:dyDescent="0.2">
      <c r="A209" s="24"/>
      <c r="B209" s="1"/>
      <c r="C209" s="1"/>
      <c r="D209" s="1"/>
      <c r="E209" s="1"/>
      <c r="F209" s="1"/>
      <c r="G209" s="1"/>
      <c r="H209" s="2"/>
      <c r="I209" s="1"/>
      <c r="J209" s="1"/>
      <c r="K209" s="1"/>
      <c r="L209" s="1"/>
    </row>
    <row r="210" spans="1:12" x14ac:dyDescent="0.2">
      <c r="A210" s="24"/>
      <c r="B210" s="1"/>
      <c r="C210" s="1"/>
      <c r="D210" s="1"/>
      <c r="E210" s="1"/>
      <c r="F210" s="1"/>
      <c r="G210" s="1"/>
      <c r="H210" s="2"/>
      <c r="I210" s="1"/>
      <c r="J210" s="1"/>
      <c r="K210" s="1"/>
      <c r="L210" s="1"/>
    </row>
    <row r="211" spans="1:12" x14ac:dyDescent="0.2">
      <c r="A211" s="24"/>
      <c r="B211" s="1"/>
      <c r="C211" s="1"/>
      <c r="D211" s="1"/>
      <c r="E211" s="1"/>
      <c r="F211" s="1"/>
      <c r="G211" s="1"/>
      <c r="H211" s="2"/>
      <c r="I211" s="1"/>
      <c r="J211" s="1"/>
      <c r="K211" s="1"/>
      <c r="L211" s="1"/>
    </row>
    <row r="212" spans="1:12" x14ac:dyDescent="0.2">
      <c r="A212" s="24"/>
      <c r="B212" s="1"/>
      <c r="C212" s="1"/>
      <c r="D212" s="1"/>
      <c r="E212" s="1"/>
      <c r="F212" s="1"/>
      <c r="G212" s="1"/>
      <c r="H212" s="2"/>
      <c r="I212" s="1"/>
      <c r="J212" s="1"/>
      <c r="K212" s="1"/>
      <c r="L212" s="1"/>
    </row>
    <row r="213" spans="1:12" x14ac:dyDescent="0.2">
      <c r="A213" s="24"/>
      <c r="B213" s="1"/>
      <c r="C213" s="1"/>
      <c r="D213" s="1"/>
      <c r="E213" s="1"/>
      <c r="F213" s="1"/>
      <c r="G213" s="1"/>
      <c r="H213" s="2"/>
      <c r="I213" s="1"/>
      <c r="J213" s="1"/>
      <c r="K213" s="1"/>
      <c r="L213" s="1"/>
    </row>
    <row r="214" spans="1:12" x14ac:dyDescent="0.2">
      <c r="A214" s="24"/>
      <c r="B214" s="1"/>
      <c r="C214" s="1"/>
      <c r="D214" s="1"/>
      <c r="E214" s="1"/>
      <c r="F214" s="1"/>
      <c r="G214" s="1"/>
      <c r="H214" s="2"/>
      <c r="I214" s="1"/>
      <c r="J214" s="1"/>
      <c r="K214" s="1"/>
      <c r="L214" s="1"/>
    </row>
    <row r="215" spans="1:12" x14ac:dyDescent="0.2">
      <c r="A215" s="24"/>
      <c r="B215" s="1"/>
      <c r="C215" s="1"/>
      <c r="D215" s="1"/>
      <c r="E215" s="1"/>
      <c r="F215" s="1"/>
      <c r="G215" s="1"/>
      <c r="H215" s="2"/>
      <c r="I215" s="1"/>
      <c r="J215" s="1"/>
      <c r="K215" s="1"/>
      <c r="L215" s="1"/>
    </row>
    <row r="216" spans="1:12" x14ac:dyDescent="0.2">
      <c r="A216" s="24"/>
      <c r="B216" s="1"/>
      <c r="C216" s="1"/>
      <c r="D216" s="1"/>
      <c r="E216" s="1"/>
      <c r="F216" s="1"/>
      <c r="G216" s="1"/>
      <c r="H216" s="2"/>
      <c r="I216" s="1"/>
      <c r="J216" s="1"/>
      <c r="K216" s="1"/>
      <c r="L216" s="1"/>
    </row>
    <row r="217" spans="1:12" x14ac:dyDescent="0.2">
      <c r="A217" s="24"/>
      <c r="B217" s="1"/>
      <c r="C217" s="1"/>
      <c r="D217" s="1"/>
      <c r="E217" s="1"/>
      <c r="F217" s="1"/>
      <c r="G217" s="1"/>
      <c r="H217" s="2"/>
      <c r="I217" s="1"/>
      <c r="J217" s="1"/>
      <c r="K217" s="1"/>
      <c r="L217" s="1"/>
    </row>
    <row r="218" spans="1:12" x14ac:dyDescent="0.2">
      <c r="A218" s="24"/>
      <c r="B218" s="1"/>
      <c r="C218" s="1"/>
      <c r="D218" s="1"/>
      <c r="E218" s="1"/>
      <c r="F218" s="1"/>
      <c r="G218" s="1"/>
      <c r="H218" s="2"/>
      <c r="I218" s="1"/>
      <c r="J218" s="1"/>
      <c r="K218" s="1"/>
      <c r="L218" s="1"/>
    </row>
    <row r="219" spans="1:12" x14ac:dyDescent="0.2">
      <c r="A219" s="24"/>
      <c r="B219" s="1"/>
      <c r="C219" s="1"/>
      <c r="D219" s="1"/>
      <c r="E219" s="1"/>
      <c r="F219" s="1"/>
      <c r="G219" s="1"/>
      <c r="H219" s="2"/>
      <c r="I219" s="1"/>
      <c r="J219" s="1"/>
      <c r="K219" s="1"/>
      <c r="L219" s="1"/>
    </row>
    <row r="220" spans="1:12" x14ac:dyDescent="0.2">
      <c r="A220" s="24"/>
      <c r="B220" s="1"/>
      <c r="C220" s="1"/>
      <c r="D220" s="1"/>
      <c r="E220" s="1"/>
      <c r="F220" s="1"/>
      <c r="G220" s="1"/>
      <c r="H220" s="2"/>
      <c r="I220" s="1"/>
      <c r="J220" s="1"/>
      <c r="K220" s="1"/>
      <c r="L220" s="1"/>
    </row>
    <row r="221" spans="1:12" x14ac:dyDescent="0.2">
      <c r="A221" s="24"/>
      <c r="B221" s="1"/>
      <c r="C221" s="1"/>
      <c r="D221" s="1"/>
      <c r="E221" s="1"/>
      <c r="F221" s="1"/>
      <c r="G221" s="1"/>
      <c r="H221" s="2"/>
      <c r="I221" s="1"/>
      <c r="J221" s="1"/>
      <c r="K221" s="1"/>
      <c r="L221" s="1"/>
    </row>
    <row r="222" spans="1:12" x14ac:dyDescent="0.2">
      <c r="A222" s="24"/>
      <c r="B222" s="1"/>
      <c r="C222" s="1"/>
      <c r="D222" s="1"/>
      <c r="E222" s="1"/>
      <c r="F222" s="1"/>
      <c r="G222" s="1"/>
      <c r="H222" s="2"/>
      <c r="I222" s="1"/>
      <c r="J222" s="1"/>
      <c r="K222" s="1"/>
      <c r="L222" s="1"/>
    </row>
    <row r="223" spans="1:12" x14ac:dyDescent="0.2">
      <c r="A223" s="24"/>
      <c r="B223" s="1"/>
      <c r="C223" s="1"/>
      <c r="D223" s="1"/>
      <c r="E223" s="1"/>
      <c r="F223" s="1"/>
      <c r="G223" s="1"/>
      <c r="H223" s="2"/>
      <c r="I223" s="1"/>
      <c r="J223" s="1"/>
      <c r="K223" s="1"/>
      <c r="L223" s="1"/>
    </row>
    <row r="224" spans="1:12" x14ac:dyDescent="0.2">
      <c r="A224" s="24"/>
      <c r="B224" s="1"/>
      <c r="C224" s="1"/>
      <c r="D224" s="1"/>
      <c r="E224" s="1"/>
      <c r="F224" s="1"/>
      <c r="G224" s="1"/>
      <c r="H224" s="2"/>
      <c r="I224" s="1"/>
      <c r="J224" s="1"/>
      <c r="K224" s="1"/>
      <c r="L224" s="1"/>
    </row>
    <row r="225" spans="1:12" x14ac:dyDescent="0.2">
      <c r="A225" s="24"/>
      <c r="B225" s="1"/>
      <c r="C225" s="1"/>
      <c r="D225" s="1"/>
      <c r="E225" s="1"/>
      <c r="F225" s="1"/>
      <c r="G225" s="1"/>
      <c r="H225" s="2"/>
      <c r="I225" s="1"/>
      <c r="J225" s="1"/>
      <c r="K225" s="1"/>
      <c r="L225" s="1"/>
    </row>
    <row r="226" spans="1:12" x14ac:dyDescent="0.2">
      <c r="A226" s="24"/>
      <c r="B226" s="1"/>
      <c r="C226" s="1"/>
      <c r="D226" s="1"/>
      <c r="E226" s="1"/>
      <c r="F226" s="1"/>
      <c r="G226" s="1"/>
      <c r="H226" s="2"/>
      <c r="I226" s="1"/>
      <c r="J226" s="1"/>
      <c r="K226" s="1"/>
      <c r="L226" s="1"/>
    </row>
    <row r="227" spans="1:12" x14ac:dyDescent="0.2">
      <c r="A227" s="24"/>
      <c r="B227" s="1"/>
      <c r="C227" s="1"/>
      <c r="D227" s="1"/>
      <c r="E227" s="1"/>
      <c r="F227" s="1"/>
      <c r="G227" s="1"/>
      <c r="H227" s="2"/>
      <c r="I227" s="1"/>
      <c r="J227" s="1"/>
      <c r="K227" s="1"/>
      <c r="L227" s="1"/>
    </row>
    <row r="228" spans="1:12" x14ac:dyDescent="0.2">
      <c r="A228" s="24"/>
      <c r="B228" s="1"/>
      <c r="C228" s="1"/>
      <c r="D228" s="1"/>
      <c r="E228" s="1"/>
      <c r="F228" s="1"/>
      <c r="G228" s="1"/>
      <c r="H228" s="2"/>
      <c r="I228" s="1"/>
      <c r="J228" s="1"/>
      <c r="K228" s="1"/>
      <c r="L228" s="1"/>
    </row>
    <row r="229" spans="1:12" x14ac:dyDescent="0.2">
      <c r="A229" s="24"/>
      <c r="B229" s="1"/>
      <c r="C229" s="1"/>
      <c r="D229" s="1"/>
      <c r="E229" s="1"/>
      <c r="F229" s="1"/>
      <c r="G229" s="1"/>
      <c r="H229" s="2"/>
      <c r="I229" s="1"/>
      <c r="J229" s="1"/>
      <c r="K229" s="1"/>
      <c r="L229" s="1"/>
    </row>
    <row r="230" spans="1:12" x14ac:dyDescent="0.2">
      <c r="A230" s="24"/>
      <c r="B230" s="1"/>
      <c r="C230" s="1"/>
      <c r="D230" s="1"/>
      <c r="E230" s="1"/>
      <c r="F230" s="1"/>
      <c r="G230" s="1"/>
      <c r="H230" s="2"/>
      <c r="I230" s="1"/>
      <c r="J230" s="1"/>
      <c r="K230" s="1"/>
      <c r="L230" s="1"/>
    </row>
    <row r="231" spans="1:12" x14ac:dyDescent="0.2">
      <c r="A231" s="24"/>
      <c r="B231" s="1"/>
      <c r="C231" s="1"/>
      <c r="D231" s="1"/>
      <c r="E231" s="1"/>
      <c r="F231" s="1"/>
      <c r="G231" s="1"/>
      <c r="H231" s="2"/>
      <c r="I231" s="1"/>
      <c r="J231" s="1"/>
      <c r="K231" s="1"/>
      <c r="L231" s="1"/>
    </row>
    <row r="232" spans="1:12" x14ac:dyDescent="0.2">
      <c r="A232" s="24"/>
      <c r="B232" s="1"/>
      <c r="C232" s="1"/>
      <c r="D232" s="1"/>
      <c r="E232" s="1"/>
      <c r="F232" s="1"/>
      <c r="G232" s="1"/>
      <c r="H232" s="2"/>
      <c r="I232" s="1"/>
      <c r="J232" s="1"/>
      <c r="K232" s="1"/>
      <c r="L232" s="1"/>
    </row>
    <row r="233" spans="1:12" x14ac:dyDescent="0.2">
      <c r="A233" s="24"/>
      <c r="B233" s="1"/>
      <c r="C233" s="1"/>
      <c r="D233" s="1"/>
      <c r="E233" s="1"/>
      <c r="F233" s="1"/>
      <c r="G233" s="1"/>
      <c r="H233" s="2"/>
      <c r="I233" s="1"/>
      <c r="J233" s="1"/>
      <c r="K233" s="1"/>
      <c r="L233" s="1"/>
    </row>
    <row r="234" spans="1:12" x14ac:dyDescent="0.2">
      <c r="A234" s="24"/>
      <c r="B234" s="1"/>
      <c r="C234" s="1"/>
      <c r="D234" s="1"/>
      <c r="E234" s="1"/>
      <c r="F234" s="1"/>
      <c r="G234" s="1"/>
      <c r="H234" s="2"/>
      <c r="I234" s="1"/>
      <c r="J234" s="1"/>
      <c r="K234" s="1"/>
      <c r="L234" s="1"/>
    </row>
    <row r="235" spans="1:12" x14ac:dyDescent="0.2">
      <c r="A235" s="24"/>
      <c r="B235" s="1"/>
      <c r="C235" s="1"/>
      <c r="D235" s="1"/>
      <c r="E235" s="1"/>
      <c r="F235" s="1"/>
      <c r="G235" s="1"/>
      <c r="H235" s="2"/>
      <c r="I235" s="1"/>
      <c r="J235" s="1"/>
      <c r="K235" s="1"/>
      <c r="L235" s="1"/>
    </row>
    <row r="236" spans="1:12" x14ac:dyDescent="0.2">
      <c r="A236" s="24"/>
      <c r="B236" s="1"/>
      <c r="C236" s="1"/>
      <c r="D236" s="1"/>
      <c r="E236" s="1"/>
      <c r="F236" s="1"/>
      <c r="G236" s="1"/>
      <c r="H236" s="2"/>
      <c r="I236" s="1"/>
      <c r="J236" s="1"/>
      <c r="K236" s="1"/>
      <c r="L236" s="1"/>
    </row>
    <row r="237" spans="1:12" x14ac:dyDescent="0.2">
      <c r="A237" s="24"/>
      <c r="B237" s="1"/>
      <c r="C237" s="1"/>
      <c r="D237" s="1"/>
      <c r="E237" s="1"/>
      <c r="F237" s="1"/>
      <c r="G237" s="1"/>
      <c r="H237" s="2"/>
      <c r="I237" s="1"/>
      <c r="J237" s="1"/>
      <c r="K237" s="1"/>
      <c r="L237" s="1"/>
    </row>
    <row r="238" spans="1:12" x14ac:dyDescent="0.2">
      <c r="A238" s="24"/>
      <c r="B238" s="1"/>
      <c r="C238" s="1"/>
      <c r="D238" s="1"/>
      <c r="E238" s="1"/>
      <c r="F238" s="1"/>
      <c r="G238" s="1"/>
      <c r="H238" s="2"/>
      <c r="I238" s="1"/>
      <c r="J238" s="1"/>
      <c r="K238" s="1"/>
      <c r="L238" s="1"/>
    </row>
    <row r="239" spans="1:12" x14ac:dyDescent="0.2">
      <c r="A239" s="24"/>
      <c r="B239" s="1"/>
      <c r="C239" s="1"/>
      <c r="D239" s="1"/>
      <c r="E239" s="1"/>
      <c r="F239" s="1"/>
      <c r="G239" s="1"/>
      <c r="H239" s="2"/>
      <c r="I239" s="1"/>
      <c r="J239" s="1"/>
      <c r="K239" s="1"/>
      <c r="L239" s="1"/>
    </row>
    <row r="240" spans="1:12" x14ac:dyDescent="0.2">
      <c r="A240" s="24"/>
      <c r="B240" s="1"/>
      <c r="C240" s="1"/>
      <c r="D240" s="1"/>
      <c r="E240" s="1"/>
      <c r="F240" s="1"/>
      <c r="G240" s="1"/>
      <c r="H240" s="2"/>
      <c r="I240" s="1"/>
      <c r="J240" s="1"/>
      <c r="K240" s="1"/>
      <c r="L240" s="1"/>
    </row>
    <row r="241" spans="1:12" x14ac:dyDescent="0.2">
      <c r="A241" s="24"/>
      <c r="B241" s="1"/>
      <c r="C241" s="1"/>
      <c r="D241" s="1"/>
      <c r="E241" s="1"/>
      <c r="F241" s="1"/>
      <c r="G241" s="1"/>
      <c r="H241" s="2"/>
      <c r="I241" s="1"/>
      <c r="J241" s="1"/>
      <c r="K241" s="1"/>
      <c r="L241" s="1"/>
    </row>
    <row r="242" spans="1:12" x14ac:dyDescent="0.2">
      <c r="A242" s="24"/>
      <c r="B242" s="1"/>
      <c r="C242" s="1"/>
      <c r="D242" s="1"/>
      <c r="E242" s="1"/>
      <c r="F242" s="1"/>
      <c r="G242" s="1"/>
      <c r="H242" s="2"/>
      <c r="I242" s="1"/>
      <c r="J242" s="1"/>
      <c r="K242" s="1"/>
      <c r="L242" s="1"/>
    </row>
    <row r="243" spans="1:12" x14ac:dyDescent="0.2">
      <c r="A243" s="24"/>
      <c r="B243" s="1"/>
      <c r="C243" s="1"/>
      <c r="D243" s="1"/>
      <c r="E243" s="1"/>
      <c r="F243" s="1"/>
      <c r="G243" s="1"/>
      <c r="H243" s="2"/>
      <c r="I243" s="1"/>
      <c r="J243" s="1"/>
      <c r="K243" s="1"/>
      <c r="L243" s="1"/>
    </row>
    <row r="244" spans="1:12" x14ac:dyDescent="0.2">
      <c r="A244" s="24"/>
      <c r="B244" s="1"/>
      <c r="C244" s="1"/>
      <c r="D244" s="1"/>
      <c r="E244" s="1"/>
      <c r="F244" s="1"/>
      <c r="G244" s="1"/>
      <c r="H244" s="2"/>
      <c r="I244" s="1"/>
      <c r="J244" s="1"/>
      <c r="K244" s="1"/>
      <c r="L244" s="1"/>
    </row>
    <row r="245" spans="1:12" x14ac:dyDescent="0.2">
      <c r="A245" s="24"/>
      <c r="B245" s="1"/>
      <c r="C245" s="1"/>
      <c r="D245" s="1"/>
      <c r="E245" s="1"/>
      <c r="F245" s="1"/>
      <c r="G245" s="1"/>
      <c r="H245" s="2"/>
      <c r="I245" s="1"/>
      <c r="J245" s="1"/>
      <c r="K245" s="1"/>
      <c r="L245" s="1"/>
    </row>
    <row r="246" spans="1:12" x14ac:dyDescent="0.2">
      <c r="A246" s="24"/>
      <c r="B246" s="1"/>
      <c r="C246" s="1"/>
      <c r="D246" s="1"/>
      <c r="E246" s="1"/>
      <c r="F246" s="1"/>
      <c r="G246" s="1"/>
      <c r="H246" s="2"/>
      <c r="I246" s="1"/>
      <c r="J246" s="1"/>
      <c r="K246" s="1"/>
      <c r="L246" s="1"/>
    </row>
    <row r="247" spans="1:12" x14ac:dyDescent="0.2">
      <c r="A247" s="24"/>
      <c r="B247" s="1"/>
      <c r="C247" s="1"/>
      <c r="D247" s="1"/>
      <c r="E247" s="1"/>
      <c r="F247" s="1"/>
      <c r="G247" s="1"/>
      <c r="H247" s="2"/>
      <c r="I247" s="1"/>
      <c r="J247" s="1"/>
      <c r="K247" s="1"/>
      <c r="L247" s="1"/>
    </row>
    <row r="248" spans="1:12" x14ac:dyDescent="0.2">
      <c r="A248" s="24"/>
      <c r="B248" s="1"/>
      <c r="C248" s="1"/>
      <c r="D248" s="1"/>
      <c r="E248" s="1"/>
      <c r="F248" s="1"/>
      <c r="G248" s="1"/>
      <c r="H248" s="2"/>
      <c r="I248" s="1"/>
      <c r="J248" s="1"/>
      <c r="K248" s="1"/>
      <c r="L248" s="1"/>
    </row>
    <row r="249" spans="1:12" x14ac:dyDescent="0.2">
      <c r="A249" s="24"/>
      <c r="B249" s="1"/>
      <c r="C249" s="1"/>
      <c r="D249" s="1"/>
      <c r="E249" s="1"/>
      <c r="F249" s="1"/>
      <c r="G249" s="1"/>
      <c r="H249" s="2"/>
      <c r="I249" s="1"/>
      <c r="J249" s="1"/>
      <c r="K249" s="1"/>
      <c r="L249" s="1"/>
    </row>
    <row r="250" spans="1:12" x14ac:dyDescent="0.2">
      <c r="A250" s="24"/>
      <c r="B250" s="1"/>
      <c r="C250" s="1"/>
      <c r="D250" s="1"/>
      <c r="E250" s="1"/>
      <c r="F250" s="1"/>
      <c r="G250" s="1"/>
      <c r="H250" s="2"/>
      <c r="I250" s="1"/>
      <c r="J250" s="1"/>
      <c r="K250" s="1"/>
      <c r="L250" s="1"/>
    </row>
    <row r="251" spans="1:12" x14ac:dyDescent="0.2">
      <c r="A251" s="24"/>
      <c r="B251" s="1"/>
      <c r="C251" s="1"/>
      <c r="D251" s="1"/>
      <c r="E251" s="1"/>
      <c r="F251" s="1"/>
      <c r="G251" s="1"/>
      <c r="H251" s="2"/>
      <c r="I251" s="1"/>
      <c r="J251" s="1"/>
      <c r="K251" s="1"/>
      <c r="L251" s="1"/>
    </row>
    <row r="252" spans="1:12" x14ac:dyDescent="0.2">
      <c r="A252" s="24"/>
      <c r="B252" s="1"/>
      <c r="C252" s="1"/>
      <c r="D252" s="1"/>
      <c r="E252" s="1"/>
      <c r="F252" s="1"/>
      <c r="G252" s="1"/>
      <c r="H252" s="2"/>
      <c r="I252" s="1"/>
      <c r="J252" s="1"/>
      <c r="K252" s="1"/>
      <c r="L252" s="1"/>
    </row>
    <row r="253" spans="1:12" x14ac:dyDescent="0.2">
      <c r="A253" s="24"/>
      <c r="B253" s="1"/>
      <c r="C253" s="1"/>
      <c r="D253" s="1"/>
      <c r="E253" s="1"/>
      <c r="F253" s="1"/>
      <c r="G253" s="1"/>
      <c r="H253" s="2"/>
      <c r="I253" s="1"/>
      <c r="J253" s="1"/>
      <c r="K253" s="1"/>
      <c r="L253" s="1"/>
    </row>
    <row r="254" spans="1:12" x14ac:dyDescent="0.2">
      <c r="A254" s="24"/>
      <c r="B254" s="1"/>
      <c r="C254" s="1"/>
      <c r="D254" s="1"/>
      <c r="E254" s="1"/>
      <c r="F254" s="1"/>
      <c r="G254" s="1"/>
      <c r="H254" s="2"/>
      <c r="I254" s="1"/>
      <c r="J254" s="1"/>
      <c r="K254" s="1"/>
      <c r="L254" s="1"/>
    </row>
    <row r="255" spans="1:12" x14ac:dyDescent="0.2">
      <c r="A255" s="24"/>
      <c r="B255" s="1"/>
      <c r="C255" s="1"/>
      <c r="D255" s="1"/>
      <c r="E255" s="1"/>
      <c r="F255" s="1"/>
      <c r="G255" s="1"/>
      <c r="H255" s="2"/>
      <c r="I255" s="1"/>
      <c r="J255" s="1"/>
      <c r="K255" s="1"/>
      <c r="L255" s="1"/>
    </row>
    <row r="256" spans="1:12" x14ac:dyDescent="0.2">
      <c r="A256" s="24"/>
      <c r="B256" s="1"/>
      <c r="C256" s="1"/>
      <c r="D256" s="1"/>
      <c r="E256" s="1"/>
      <c r="F256" s="1"/>
      <c r="G256" s="1"/>
      <c r="H256" s="2"/>
      <c r="I256" s="1"/>
      <c r="J256" s="1"/>
      <c r="K256" s="1"/>
      <c r="L256" s="1"/>
    </row>
  </sheetData>
  <sheetProtection algorithmName="SHA-512" hashValue="eCBmmh6+Nuh99nELpdJ48yLzX+L7JAQzEqc9ZudfSqEf3fc5txQ2T+ERz7qZrhUhZn8Eu5ZrS1x8zOiOyTNBVQ==" saltValue="CMIdzK0ZqDNZqY/yoq4O2Q==" spinCount="100000" sheet="1" objects="1" scenarios="1"/>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53a810-d2a2-4c28-9ad9-9100c9a22e04" xsi:nil="true"/>
    <_dlc_DocId xmlns="ea37a463-b99d-470c-8a85-4153a11441a9">Y2PHC7Y2YW5Y-1186990343-1487</_dlc_DocId>
    <_dlc_DocIdUrl xmlns="ea37a463-b99d-470c-8a85-4153a11441a9">
      <Url>https://txhhs.sharepoint.com/sites/hhsc/hsosm/iddbhs/bhs/pss1/pbhp/_layouts/15/DocIdRedir.aspx?ID=Y2PHC7Y2YW5Y-1186990343-1487</Url>
      <Description>Y2PHC7Y2YW5Y-1186990343-1487</Description>
    </_dlc_DocIdUrl>
    <lcf76f155ced4ddcb4097134ff3c332f xmlns="5b7f3993-b0aa-4a2b-bf77-06d122edeb16">
      <Terms xmlns="http://schemas.microsoft.com/office/infopath/2007/PartnerControls"/>
    </lcf76f155ced4ddcb4097134ff3c332f>
    <ProjectName xmlns="5b7f3993-b0aa-4a2b-bf77-06d122edeb16" xsi:nil="true"/>
    <Region xmlns="5b7f3993-b0aa-4a2b-bf77-06d122edeb16" xsi:nil="true"/>
    <Topic xmlns="5b7f3993-b0aa-4a2b-bf77-06d122edeb16" xsi:nil="true"/>
    <ProviderName xmlns="5b7f3993-b0aa-4a2b-bf77-06d122edeb16" xsi:nil="true"/>
    <SpecificDocumentType xmlns="5b7f3993-b0aa-4a2b-bf77-06d122edeb16">
      <Value>Performance Measures</Value>
    </SpecificDocumentType>
    <ProgramType xmlns="5b7f3993-b0aa-4a2b-bf77-06d122edeb16">
      <Value>YPI</Value>
      <Value>YPS</Value>
      <Value>YPU</Value>
    </ProgramType>
    <FiscalYear xmlns="5b7f3993-b0aa-4a2b-bf77-06d122edeb16">
      <Value>FY24</Value>
    </FiscalYear>
    <GeneralDocumentType xmlns="5b7f3993-b0aa-4a2b-bf77-06d122edeb16">
      <Value>Contract Development</Value>
    </GeneralDocument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567263607B75045A5756A97C63541E6" ma:contentTypeVersion="20" ma:contentTypeDescription="Create a new document." ma:contentTypeScope="" ma:versionID="5cfb58e536a302c6c037992ca61671c4">
  <xsd:schema xmlns:xsd="http://www.w3.org/2001/XMLSchema" xmlns:xs="http://www.w3.org/2001/XMLSchema" xmlns:p="http://schemas.microsoft.com/office/2006/metadata/properties" xmlns:ns2="ea37a463-b99d-470c-8a85-4153a11441a9" xmlns:ns3="5b7f3993-b0aa-4a2b-bf77-06d122edeb16" xmlns:ns4="d853a810-d2a2-4c28-9ad9-9100c9a22e04" targetNamespace="http://schemas.microsoft.com/office/2006/metadata/properties" ma:root="true" ma:fieldsID="42439b6dc0160bea00fa1f71768c12eb" ns2:_="" ns3:_="" ns4:_="">
    <xsd:import namespace="ea37a463-b99d-470c-8a85-4153a11441a9"/>
    <xsd:import namespace="5b7f3993-b0aa-4a2b-bf77-06d122edeb16"/>
    <xsd:import namespace="d853a810-d2a2-4c28-9ad9-9100c9a22e04"/>
    <xsd:element name="properties">
      <xsd:complexType>
        <xsd:sequence>
          <xsd:element name="documentManagement">
            <xsd:complexType>
              <xsd:all>
                <xsd:element ref="ns2:_dlc_DocId" minOccurs="0"/>
                <xsd:element ref="ns2:_dlc_DocIdUrl" minOccurs="0"/>
                <xsd:element ref="ns2:_dlc_DocIdPersistId" minOccurs="0"/>
                <xsd:element ref="ns3:FiscalYear" minOccurs="0"/>
                <xsd:element ref="ns3:MediaServiceMetadata" minOccurs="0"/>
                <xsd:element ref="ns3:MediaServiceFastMetadata" minOccurs="0"/>
                <xsd:element ref="ns3:MediaServiceObjectDetectorVersions" minOccurs="0"/>
                <xsd:element ref="ns3:ProgramType" minOccurs="0"/>
                <xsd:element ref="ns3:ProjectName" minOccurs="0"/>
                <xsd:element ref="ns3:GeneralDocumentType" minOccurs="0"/>
                <xsd:element ref="ns3:SpecificDocumentType" minOccurs="0"/>
                <xsd:element ref="ns3:Region" minOccurs="0"/>
                <xsd:element ref="ns3:ProviderName" minOccurs="0"/>
                <xsd:element ref="ns3:Topic" minOccurs="0"/>
                <xsd:element ref="ns3:lcf76f155ced4ddcb4097134ff3c332f" minOccurs="0"/>
                <xsd:element ref="ns4:TaxCatchAll" minOccurs="0"/>
                <xsd:element ref="ns3:MediaServiceGenerationTime" minOccurs="0"/>
                <xsd:element ref="ns3:MediaServiceEventHashCode" minOccurs="0"/>
                <xsd:element ref="ns3:MediaServiceOCR" minOccurs="0"/>
                <xsd:element ref="ns3:MediaServiceDateTake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37a463-b99d-470c-8a85-4153a11441a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7f3993-b0aa-4a2b-bf77-06d122edeb16" elementFormDefault="qualified">
    <xsd:import namespace="http://schemas.microsoft.com/office/2006/documentManagement/types"/>
    <xsd:import namespace="http://schemas.microsoft.com/office/infopath/2007/PartnerControls"/>
    <xsd:element name="FiscalYear" ma:index="11" nillable="true" ma:displayName="Fiscal Year" ma:format="Dropdown" ma:internalName="FiscalYear" ma:requiredMultiChoice="true">
      <xsd:complexType>
        <xsd:complexContent>
          <xsd:extension base="dms:MultiChoice">
            <xsd:sequence>
              <xsd:element name="Value" maxOccurs="unbounded" minOccurs="0" nillable="true">
                <xsd:simpleType>
                  <xsd:restriction base="dms:Choice">
                    <xsd:enumeration value="FY23"/>
                    <xsd:enumeration value="FY24"/>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ProgramType" ma:index="15" nillable="true" ma:displayName="Program Type" ma:format="Dropdown" ma:internalName="ProgramType" ma:requiredMultiChoice="true">
      <xsd:complexType>
        <xsd:complexContent>
          <xsd:extension base="dms:MultiChoice">
            <xsd:sequence>
              <xsd:element name="Value" maxOccurs="unbounded" minOccurs="0" nillable="true">
                <xsd:simpleType>
                  <xsd:restriction base="dms:Choice">
                    <xsd:enumeration value="ALL"/>
                    <xsd:enumeration value="CCP"/>
                    <xsd:enumeration value="CCP-COV"/>
                    <xsd:enumeration value="IHCP"/>
                    <xsd:enumeration value="PRC"/>
                    <xsd:enumeration value="TOB"/>
                    <xsd:enumeration value="TOB-COV"/>
                    <xsd:enumeration value="TTQL"/>
                    <xsd:enumeration value="YPI"/>
                    <xsd:enumeration value="YPS"/>
                    <xsd:enumeration value="YPU"/>
                  </xsd:restriction>
                </xsd:simpleType>
              </xsd:element>
            </xsd:sequence>
          </xsd:extension>
        </xsd:complexContent>
      </xsd:complexType>
    </xsd:element>
    <xsd:element name="ProjectName" ma:index="16" nillable="true" ma:displayName="Project Name" ma:format="Dropdown" ma:internalName="ProjectName">
      <xsd:complexType>
        <xsd:complexContent>
          <xsd:extension base="dms:MultiChoice">
            <xsd:sequence>
              <xsd:element name="Value" maxOccurs="unbounded" minOccurs="0" nillable="true">
                <xsd:simpleType>
                  <xsd:restriction base="dms:Choice">
                    <xsd:enumeration value="SharePoint Consolidation"/>
                    <xsd:enumeration value="Action Team: CCP Youth Involvement"/>
                    <xsd:enumeration value="Action Team: Data Advengers"/>
                    <xsd:enumeration value="Action Team: Market the System"/>
                    <xsd:enumeration value="Action Team: Prevention Workforce"/>
                    <xsd:enumeration value="Action Team: Youth Force"/>
                    <xsd:enumeration value="Action Team: Youth-Enhanced Services"/>
                    <xsd:enumeration value="FY25 RFA"/>
                  </xsd:restriction>
                </xsd:simpleType>
              </xsd:element>
            </xsd:sequence>
          </xsd:extension>
        </xsd:complexContent>
      </xsd:complexType>
    </xsd:element>
    <xsd:element name="GeneralDocumentType" ma:index="17" nillable="true" ma:displayName="General Document Type" ma:format="Dropdown" ma:internalName="GeneralDocumentType" ma:requiredMultiChoice="true">
      <xsd:complexType>
        <xsd:complexContent>
          <xsd:extension base="dms:MultiChoice">
            <xsd:sequence>
              <xsd:element name="Value" maxOccurs="unbounded" minOccurs="0" nillable="true">
                <xsd:simpleType>
                  <xsd:restriction base="dms:Choice">
                    <xsd:enumeration value="Contract Development"/>
                    <xsd:enumeration value="Contract Oversight"/>
                    <xsd:enumeration value="Deliverable Templates"/>
                    <xsd:enumeration value="Deliverable Submissions"/>
                    <xsd:enumeration value="Technical Assistance"/>
                    <xsd:enumeration value="Strategic Planning"/>
                    <xsd:enumeration value="Agendas and Meeting Notes"/>
                    <xsd:enumeration value="Unsure How to Tag"/>
                  </xsd:restriction>
                </xsd:simpleType>
              </xsd:element>
            </xsd:sequence>
          </xsd:extension>
        </xsd:complexContent>
      </xsd:complexType>
    </xsd:element>
    <xsd:element name="SpecificDocumentType" ma:index="18" nillable="true" ma:displayName="Specific Document Type" ma:format="Dropdown" ma:internalName="SpecificDocumentType" ma:requiredMultiChoice="true">
      <xsd:complexType>
        <xsd:complexContent>
          <xsd:extension base="dms:MultiChoice">
            <xsd:sequence>
              <xsd:element name="Value" maxOccurs="unbounded" minOccurs="0" nillable="true">
                <xsd:simpleType>
                  <xsd:restriction base="dms:Choice">
                    <xsd:enumeration value="Categorical Budget"/>
                    <xsd:enumeration value="BPA"/>
                    <xsd:enumeration value="I&amp;R Form"/>
                    <xsd:enumeration value="SOW"/>
                    <xsd:enumeration value="Performance Measures"/>
                    <xsd:enumeration value="Tracker"/>
                    <xsd:enumeration value="Contact List"/>
                    <xsd:enumeration value="Staffing Form Request"/>
                    <xsd:enumeration value="Quarterly Reports"/>
                    <xsd:enumeration value="Mid-Year Reports"/>
                    <xsd:enumeration value="Annual Reports"/>
                    <xsd:enumeration value="Regional Needs Assessments"/>
                    <xsd:enumeration value="Implementation Plans"/>
                    <xsd:enumeration value="Prevention Activity Tracking Tool"/>
                    <xsd:enumeration value="Internal Data"/>
                    <xsd:enumeration value="Unsure How to Tag"/>
                  </xsd:restriction>
                </xsd:simpleType>
              </xsd:element>
            </xsd:sequence>
          </xsd:extension>
        </xsd:complexContent>
      </xsd:complexType>
    </xsd:element>
    <xsd:element name="Region" ma:index="19" nillable="true" ma:displayName="Region" ma:format="Dropdown" ma:internalName="Region">
      <xsd:complexType>
        <xsd:complexContent>
          <xsd:extension base="dms:MultiChoice">
            <xsd:sequence>
              <xsd:element name="Value" maxOccurs="unbounded" minOccurs="0" nillable="true">
                <xsd:simpleType>
                  <xsd:restriction base="dms:Choice">
                    <xsd:enumeration value="All Regions - Statewide"/>
                    <xsd:enumeration value="Region 1"/>
                    <xsd:enumeration value="Region 2"/>
                    <xsd:enumeration value="Region 3"/>
                    <xsd:enumeration value="Region 4"/>
                    <xsd:enumeration value="Region 5"/>
                    <xsd:enumeration value="Region 6"/>
                    <xsd:enumeration value="Region 7"/>
                    <xsd:enumeration value="Region 8"/>
                    <xsd:enumeration value="Region 9"/>
                    <xsd:enumeration value="Region 10"/>
                    <xsd:enumeration value="Region 11"/>
                  </xsd:restriction>
                </xsd:simpleType>
              </xsd:element>
            </xsd:sequence>
          </xsd:extension>
        </xsd:complexContent>
      </xsd:complexType>
    </xsd:element>
    <xsd:element name="ProviderName" ma:index="20" nillable="true" ma:displayName="Provider Name" ma:format="Dropdown" ma:internalName="ProviderName">
      <xsd:complexType>
        <xsd:complexContent>
          <xsd:extension base="dms:MultiChoice">
            <xsd:sequence>
              <xsd:element name="Value" maxOccurs="unbounded" minOccurs="0" nillable="true">
                <xsd:simpleType>
                  <xsd:restriction base="dms:Choice">
                    <xsd:enumeration value="All Providers"/>
                    <xsd:enumeration value="Abilene Recovery Council Inc"/>
                    <xsd:enumeration value="Alcohol &amp; Drug Abuse Council of Deep East Texas"/>
                    <xsd:enumeration value="Aliviane Inc"/>
                    <xsd:enumeration value="Bay Area Council on Drugs &amp; Alcohol"/>
                    <xsd:enumeration value="Behavioral Health Solutions of South Texas"/>
                    <xsd:enumeration value="Boys &amp; Girls Club of Greater Tarrant County"/>
                    <xsd:enumeration value="Brazos Valley Council on Alcohol and Substance Abuse"/>
                    <xsd:enumeration value="Cenikor Foundation"/>
                    <xsd:enumeration value="Child &amp; Family Guidance Centers"/>
                    <xsd:enumeration value="City of Lubbock Health Department"/>
                    <xsd:enumeration value="Civic Heart Community Services"/>
                    <xsd:enumeration value="Clear Creek Independent School District"/>
                    <xsd:enumeration value="Coastal Bend Wellness Foundation"/>
                    <xsd:enumeration value="Community Family Centers"/>
                    <xsd:enumeration value="Connections Individual &amp; Family Services Inc"/>
                    <xsd:enumeration value="Depelchin Children's Center"/>
                    <xsd:enumeration value="Drug Prevention Resources Inc"/>
                    <xsd:enumeration value="East Texas Council on Alcoholism &amp; Drug Abuse"/>
                    <xsd:enumeration value="Family Service Association of San Antonio Inc"/>
                    <xsd:enumeration value="Family Support Services of Amarillo"/>
                    <xsd:enumeration value="Fort Bend Regional Council on Substance Abuse Inc"/>
                    <xsd:enumeration value="Hub City Outreach Center"/>
                    <xsd:enumeration value="JOVEN - Juvenile Outreach and Vocational Educational Network"/>
                    <xsd:enumeration value="Karnes County Juvenile Probation Department"/>
                    <xsd:enumeration value="Longview Wellness Center Inc"/>
                    <xsd:enumeration value="Mid-Coast Family Services Inc"/>
                    <xsd:enumeration value="Mosaic Family Services Inc"/>
                    <xsd:enumeration value="Next Step Community Solutions"/>
                    <xsd:enumeration value="Permian Basin Regional Council on Alcohol and Drug Abuse"/>
                    <xsd:enumeration value="Phoenix Houses of Texas Inc"/>
                    <xsd:enumeration value="Rainbow Days Inc"/>
                    <xsd:enumeration value="REACH - Midlothian Inc"/>
                    <xsd:enumeration value="Recovery Resource Council"/>
                    <xsd:enumeration value="San Antonio Council on Alcohol and Drug Awareness (SACADA)"/>
                    <xsd:enumeration value="Santa Maria Hostel Inc"/>
                    <xsd:enumeration value="Serenity Foundation of Texas"/>
                    <xsd:enumeration value="Serving Children and Adults in Need Inc"/>
                    <xsd:enumeration value="STAR Council on Substance Abuse"/>
                    <xsd:enumeration value="Tarrant County Challenge Inc"/>
                    <xsd:enumeration value="The Alcohol &amp; Drug Abuse Council for the Concho Valley"/>
                    <xsd:enumeration value="The Council on Alcohol &amp; Drug Abuse Coastal Bend"/>
                    <xsd:enumeration value="The Council on Recovery"/>
                    <xsd:enumeration value="The Freestyle Foundation"/>
                    <xsd:enumeration value="Tri-County Behavioral Health"/>
                    <xsd:enumeration value="University of Texas at Arlington"/>
                    <xsd:enumeration value="Unlimited Visions Aftercare Inc"/>
                    <xsd:enumeration value="Viable Options in Community Endeavors Inc"/>
                    <xsd:enumeration value="Volunteers of America Texas Inc"/>
                    <xsd:enumeration value="Workers Assistance Program Inc"/>
                    <xsd:enumeration value="Youth 180 Inc"/>
                    <xsd:enumeration value="Youth Advocate Programs Inc"/>
                    <xsd:enumeration value="Ysleta del Sur Pueblo"/>
                  </xsd:restriction>
                </xsd:simpleType>
              </xsd:element>
            </xsd:sequence>
          </xsd:extension>
        </xsd:complexContent>
      </xsd:complexType>
    </xsd:element>
    <xsd:element name="Topic" ma:index="21" nillable="true" ma:displayName="Topic" ma:format="Dropdown" ma:internalName="Topic">
      <xsd:complexType>
        <xsd:complexContent>
          <xsd:extension base="dms:MultiChoice">
            <xsd:sequence>
              <xsd:element name="Value" maxOccurs="unbounded" minOccurs="0" nillable="true">
                <xsd:simpleType>
                  <xsd:restriction base="dms:Choice">
                    <xsd:enumeration value="Underage Drinking"/>
                    <xsd:enumeration value="Marijuana"/>
                    <xsd:enumeration value="Tobacco"/>
                    <xsd:enumeration value="Misuse Rx Pills"/>
                    <xsd:enumeration value="SDOH/NMDOH"/>
                    <xsd:enumeration value="Adverse Childhood Experiences (ACEs)"/>
                    <xsd:enumeration value="Positive Childhood Experiences (PCEs)"/>
                    <xsd:enumeration value="Trauma-Informed Practice"/>
                    <xsd:enumeration value="COVID-19"/>
                    <xsd:enumeration value="Behavioral Health Promotion"/>
                  </xsd:restriction>
                </xsd:simpleType>
              </xsd:element>
            </xsd:sequence>
          </xsd:extension>
        </xsd:complexContent>
      </xsd:complex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DateTaken" ma:index="2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3a810-d2a2-4c28-9ad9-9100c9a22e04"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0d03e8e1-8068-4b4c-9c99-812f9c325840}" ma:internalName="TaxCatchAll" ma:showField="CatchAllData" ma:web="ea37a463-b99d-470c-8a85-4153a11441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1E7456-5E74-4D1C-BD96-87F2BC2E427D}">
  <ds:schemaRefs>
    <ds:schemaRef ds:uri="http://schemas.microsoft.com/office/2006/metadata/properties"/>
    <ds:schemaRef ds:uri="http://schemas.microsoft.com/office/infopath/2007/PartnerControls"/>
    <ds:schemaRef ds:uri="d853a810-d2a2-4c28-9ad9-9100c9a22e04"/>
    <ds:schemaRef ds:uri="ea37a463-b99d-470c-8a85-4153a11441a9"/>
    <ds:schemaRef ds:uri="5b7f3993-b0aa-4a2b-bf77-06d122edeb16"/>
  </ds:schemaRefs>
</ds:datastoreItem>
</file>

<file path=customXml/itemProps2.xml><?xml version="1.0" encoding="utf-8"?>
<ds:datastoreItem xmlns:ds="http://schemas.openxmlformats.org/officeDocument/2006/customXml" ds:itemID="{57CE3078-BFDB-4C41-8649-0EEC0A80C5B1}">
  <ds:schemaRefs>
    <ds:schemaRef ds:uri="http://schemas.microsoft.com/sharepoint/v3/contenttype/forms"/>
  </ds:schemaRefs>
</ds:datastoreItem>
</file>

<file path=customXml/itemProps3.xml><?xml version="1.0" encoding="utf-8"?>
<ds:datastoreItem xmlns:ds="http://schemas.openxmlformats.org/officeDocument/2006/customXml" ds:itemID="{28337ECA-6E17-4B48-8047-2D89A8A9B41B}">
  <ds:schemaRefs>
    <ds:schemaRef ds:uri="http://schemas.microsoft.com/sharepoint/events"/>
  </ds:schemaRefs>
</ds:datastoreItem>
</file>

<file path=customXml/itemProps4.xml><?xml version="1.0" encoding="utf-8"?>
<ds:datastoreItem xmlns:ds="http://schemas.openxmlformats.org/officeDocument/2006/customXml" ds:itemID="{DD786133-F4A3-4F8B-8050-AC531DFB5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37a463-b99d-470c-8a85-4153a11441a9"/>
    <ds:schemaRef ds:uri="5b7f3993-b0aa-4a2b-bf77-06d122edeb16"/>
    <ds:schemaRef ds:uri="d853a810-d2a2-4c28-9ad9-9100c9a22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Instructions</vt:lpstr>
      <vt:lpstr>Estimated Performance Measures</vt:lpstr>
      <vt:lpstr>YP Education Measure Ranges</vt:lpstr>
      <vt:lpstr>Measures High to Low - OLD</vt:lpstr>
      <vt:lpstr>Calculations - OLD</vt:lpstr>
      <vt:lpstr>Prev Edu Calculations</vt:lpstr>
      <vt:lpstr>Tobacco Compliance Calcs</vt:lpstr>
      <vt:lpstr>Other Activity Calulations</vt:lpstr>
      <vt:lpstr>Alts_POE</vt:lpstr>
      <vt:lpstr>Edu_POE</vt:lpstr>
      <vt:lpstr>Info_POE</vt:lpstr>
      <vt:lpstr>Region</vt:lpstr>
      <vt:lpstr>YPI_1</vt:lpstr>
      <vt:lpstr>YPI_2</vt:lpstr>
      <vt:lpstr>YPI_3</vt:lpstr>
      <vt:lpstr>YPS_1</vt:lpstr>
      <vt:lpstr>YPS_2</vt:lpstr>
      <vt:lpstr>YPS_3</vt:lpstr>
      <vt:lpstr>YPU_1</vt:lpstr>
      <vt:lpstr>YPU_2</vt:lpstr>
      <vt:lpstr>YPU_3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Johns,Samuel (HHSC/DSHS)</dc:creator>
  <cp:keywords/>
  <dc:description/>
  <cp:lastModifiedBy>Pearson,Amy (HHSC)</cp:lastModifiedBy>
  <cp:revision/>
  <dcterms:created xsi:type="dcterms:W3CDTF">2021-05-24T17:35:07Z</dcterms:created>
  <dcterms:modified xsi:type="dcterms:W3CDTF">2023-11-03T12:43:23Z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0x010100A567263607B75045A5756A97C63541E6</vt:lpwstr>
  </property>
  <property fmtid="{D5CDD505-2E9C-101B-9397-08002B2CF9AE}" pid="3" name="_dlc_DocIdItemGuid">
    <vt:lpwstr>e948836f-a401-4e4d-af59-e83963cf64c6</vt:lpwstr>
  </property>
  <property fmtid="{D5CDD505-2E9C-101B-9397-08002B2CF9AE}" pid="4" name="MediaServiceImageTags">
    <vt:lpwstr/>
  </property>
</Properties>
</file>